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uhisa Hishikawa\Desktop\YOUTUBE\"/>
    </mc:Choice>
  </mc:AlternateContent>
  <xr:revisionPtr revIDLastSave="0" documentId="13_ncr:1_{C0406F40-DB73-47A1-BC6D-D1198E73237C}" xr6:coauthVersionLast="45" xr6:coauthVersionMax="45" xr10:uidLastSave="{00000000-0000-0000-0000-000000000000}"/>
  <workbookProtection workbookAlgorithmName="SHA-512" workbookHashValue="x687K/QhEzKhpRnS+CultlSoYOg4yVqwUggezKn+Rm4VH5rjIxupAuQqXVTf6Y/eAcLGHW7NiW4HZBIbUoh7dQ==" workbookSaltValue="79tiyQihSEOdk+VS/Nshpg==" workbookSpinCount="100000" lockStructure="1"/>
  <bookViews>
    <workbookView xWindow="31170" yWindow="345" windowWidth="23040" windowHeight="15525" xr2:uid="{4357651D-7245-456F-A82D-D90E5A96BA77}"/>
  </bookViews>
  <sheets>
    <sheet name="けん引可能なトレーラの車両総重量の計算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4" i="2" l="1"/>
  <c r="L37" i="2"/>
  <c r="L38" i="2" s="1"/>
  <c r="U24" i="2" l="1"/>
  <c r="L16" i="2" l="1"/>
  <c r="Q16" i="2"/>
  <c r="D110" i="2"/>
  <c r="E109" i="2"/>
  <c r="L35" i="2"/>
  <c r="U23" i="2"/>
  <c r="L15" i="2"/>
  <c r="Q75" i="2" s="1"/>
  <c r="G29" i="2"/>
  <c r="D29" i="2"/>
  <c r="D34" i="2"/>
  <c r="D35" i="2" s="1"/>
  <c r="L17" i="2" s="1"/>
  <c r="L14" i="2"/>
  <c r="P65" i="2" s="1"/>
  <c r="P66" i="2" s="1"/>
  <c r="Q88" i="2" s="1"/>
  <c r="L13" i="2"/>
  <c r="D24" i="2" l="1"/>
  <c r="D25" i="2" s="1"/>
  <c r="L75" i="2"/>
  <c r="G24" i="2"/>
  <c r="K87" i="2"/>
  <c r="J109" i="2"/>
  <c r="D30" i="2"/>
  <c r="L19" i="2" s="1"/>
  <c r="R70" i="2" s="1"/>
  <c r="G79" i="2"/>
  <c r="D80" i="2" s="1"/>
  <c r="F93" i="2"/>
  <c r="V25" i="2"/>
  <c r="D46" i="2" s="1"/>
  <c r="F105" i="2"/>
  <c r="D106" i="2" s="1"/>
  <c r="F101" i="2"/>
  <c r="D102" i="2" s="1"/>
  <c r="G83" i="2"/>
  <c r="D84" i="2" s="1"/>
  <c r="G75" i="2"/>
  <c r="F97" i="2"/>
  <c r="K97" i="2"/>
  <c r="V70" i="2"/>
  <c r="L79" i="2"/>
  <c r="K101" i="2"/>
  <c r="T75" i="2"/>
  <c r="P76" i="2" s="1"/>
  <c r="Q82" i="2" s="1"/>
  <c r="Q90" i="2" s="1"/>
  <c r="L83" i="2"/>
  <c r="K105" i="2"/>
  <c r="L71" i="2"/>
  <c r="K65" i="2"/>
  <c r="K93" i="2"/>
  <c r="G71" i="2"/>
  <c r="D76" i="2" l="1"/>
  <c r="F87" i="2"/>
  <c r="D88" i="2" s="1"/>
  <c r="L18" i="2"/>
  <c r="D98" i="2"/>
  <c r="P71" i="2"/>
  <c r="Q81" i="2" s="1"/>
  <c r="Q89" i="2" s="1"/>
  <c r="G46" i="2"/>
  <c r="Q20" i="2" s="1"/>
  <c r="D94" i="2"/>
  <c r="D72" i="2"/>
  <c r="L68" i="2" s="1"/>
  <c r="Q80" i="2" s="1"/>
  <c r="L90" i="2" l="1"/>
  <c r="Q87" i="2" s="1"/>
  <c r="J46" i="2"/>
  <c r="C47" i="2" s="1"/>
  <c r="L20" i="2" l="1"/>
  <c r="H65" i="2" s="1"/>
  <c r="D66" i="2" s="1"/>
  <c r="Q79" i="2" s="1"/>
  <c r="V83" i="2" l="1"/>
  <c r="P104" i="2" s="1"/>
  <c r="Q86" i="2"/>
  <c r="V91" i="2" s="1"/>
  <c r="T10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Superior,Inc Yasuhisa Hishikawa</author>
  </authors>
  <commentList>
    <comment ref="F5" authorId="0" shapeId="0" xr:uid="{278A7987-F23C-4FF0-B674-1E9A8EC646ED}">
      <text>
        <r>
          <rPr>
            <b/>
            <sz val="9"/>
            <color indexed="81"/>
            <rFont val="MS P ゴシック"/>
            <family val="3"/>
            <charset val="128"/>
          </rPr>
          <t>FF車は　前輪駆動
FR車は　後輪駆動
4WD車は 全輪駆動
と記入してください。</t>
        </r>
      </text>
    </comment>
    <comment ref="F6" authorId="0" shapeId="0" xr:uid="{31184782-7061-4746-A86A-D65A3E406D7A}">
      <text>
        <r>
          <rPr>
            <b/>
            <sz val="9"/>
            <color indexed="81"/>
            <rFont val="MS P ゴシック"/>
            <family val="3"/>
            <charset val="128"/>
          </rPr>
          <t>車検証の「用途」欄を参照し、「乗用」の場合は　乗用
のように、記載されている通り記入してください。</t>
        </r>
      </text>
    </comment>
    <comment ref="W7" authorId="0" shapeId="0" xr:uid="{E6C33E1A-9465-4BC0-AE00-837040E69A70}">
      <text>
        <r>
          <rPr>
            <b/>
            <sz val="9"/>
            <color indexed="81"/>
            <rFont val="MS P ゴシック"/>
            <family val="3"/>
            <charset val="128"/>
          </rPr>
          <t>制動力の単位は
「N」の場合は　　N
「kgf」の場合は　KGF
と、全て半角大文字で記入してください。</t>
        </r>
      </text>
    </comment>
    <comment ref="K8" authorId="0" shapeId="0" xr:uid="{C23FC1B6-A080-43C9-A190-405ADB0ABC2F}">
      <text>
        <r>
          <rPr>
            <b/>
            <sz val="9"/>
            <color indexed="81"/>
            <rFont val="MS P ゴシック"/>
            <family val="3"/>
            <charset val="128"/>
          </rPr>
          <t>最高出力の単位が
「kW」の場合は　　KW
「HP」の場合は　　HP
「Ps」の場合は　　PS
と、すべて半角大文字で記入してください。</t>
        </r>
      </text>
    </comment>
    <comment ref="W9" authorId="0" shapeId="0" xr:uid="{9558E2A8-413C-485C-B8D9-0262A2036E70}">
      <text>
        <r>
          <rPr>
            <b/>
            <sz val="9"/>
            <color indexed="81"/>
            <rFont val="MS P ゴシック"/>
            <family val="3"/>
            <charset val="128"/>
          </rPr>
          <t>制動力の単位は
「N」の場合は　　N
「kgf」の場合は　KGF
と、全て半角大文字で記入してください。</t>
        </r>
      </text>
    </comment>
    <comment ref="W10" authorId="0" shapeId="0" xr:uid="{03CE4241-DFDD-4D2C-AF17-CAA50065CA85}">
      <text>
        <r>
          <rPr>
            <b/>
            <sz val="9"/>
            <color indexed="81"/>
            <rFont val="MS P ゴシック"/>
            <family val="3"/>
            <charset val="128"/>
          </rPr>
          <t>操作力の単位は
「N」の場合は　　N
「kgf」の場合は　KGF
と、全て半角大文字で記入してください。</t>
        </r>
      </text>
    </comment>
    <comment ref="S11" authorId="0" shapeId="0" xr:uid="{5C8CF5D6-35DC-4BC6-8765-56D7851223D8}">
      <text>
        <r>
          <rPr>
            <b/>
            <sz val="9"/>
            <color indexed="81"/>
            <rFont val="MS P ゴシック"/>
            <family val="3"/>
            <charset val="128"/>
          </rPr>
          <t>操作方法が
ペダル式の場合は　足動式
レバー式の場合は　手動式
と入力してください。</t>
        </r>
      </text>
    </comment>
  </commentList>
</comments>
</file>

<file path=xl/sharedStrings.xml><?xml version="1.0" encoding="utf-8"?>
<sst xmlns="http://schemas.openxmlformats.org/spreadsheetml/2006/main" count="272" uniqueCount="146">
  <si>
    <t>m</t>
    <phoneticPr fontId="3"/>
  </si>
  <si>
    <t>m/s</t>
    <phoneticPr fontId="3"/>
  </si>
  <si>
    <t>駐車ブレーキ</t>
    <rPh sb="0" eb="2">
      <t>チュウシャ</t>
    </rPh>
    <phoneticPr fontId="3"/>
  </si>
  <si>
    <t>kg</t>
    <phoneticPr fontId="3"/>
  </si>
  <si>
    <t>前軸</t>
    <rPh sb="0" eb="1">
      <t>ゼン</t>
    </rPh>
    <rPh sb="1" eb="2">
      <t>ジク</t>
    </rPh>
    <phoneticPr fontId="3"/>
  </si>
  <si>
    <t>後軸</t>
    <rPh sb="0" eb="1">
      <t>コウ</t>
    </rPh>
    <rPh sb="1" eb="2">
      <t>ジク</t>
    </rPh>
    <phoneticPr fontId="3"/>
  </si>
  <si>
    <t>N</t>
    <phoneticPr fontId="3"/>
  </si>
  <si>
    <t>F</t>
    <phoneticPr fontId="3"/>
  </si>
  <si>
    <t>けん引可能なトレーラの車両総重量計算書</t>
    <rPh sb="2" eb="3">
      <t>イン</t>
    </rPh>
    <rPh sb="3" eb="5">
      <t>カノウ</t>
    </rPh>
    <rPh sb="11" eb="16">
      <t>シャリョウソウジュウリョウ</t>
    </rPh>
    <rPh sb="16" eb="19">
      <t>ケイサンショ</t>
    </rPh>
    <phoneticPr fontId="3"/>
  </si>
  <si>
    <t>けん引車の車名</t>
    <rPh sb="2" eb="4">
      <t>インシャ</t>
    </rPh>
    <rPh sb="5" eb="7">
      <t>シャメイ</t>
    </rPh>
    <phoneticPr fontId="3"/>
  </si>
  <si>
    <t>車台番号</t>
    <rPh sb="0" eb="4">
      <t>シャダイバンゴウ</t>
    </rPh>
    <phoneticPr fontId="3"/>
  </si>
  <si>
    <t>けん引車の駆動方式</t>
    <rPh sb="2" eb="4">
      <t>インシャ</t>
    </rPh>
    <rPh sb="5" eb="9">
      <t>クドウホウシキ</t>
    </rPh>
    <phoneticPr fontId="3"/>
  </si>
  <si>
    <t>けん引車の最高出力</t>
    <rPh sb="2" eb="4">
      <t>インシャ</t>
    </rPh>
    <rPh sb="5" eb="9">
      <t>サイコウシュツリョク</t>
    </rPh>
    <phoneticPr fontId="3"/>
  </si>
  <si>
    <t>けん引車の車両重量</t>
    <rPh sb="2" eb="4">
      <t>インシャ</t>
    </rPh>
    <rPh sb="5" eb="9">
      <t>シャリョウジュウリョウ</t>
    </rPh>
    <phoneticPr fontId="3"/>
  </si>
  <si>
    <t>けん引車の
車両総重量</t>
    <rPh sb="2" eb="4">
      <t>インシャ</t>
    </rPh>
    <rPh sb="6" eb="11">
      <t>シャリョウソウジュウリョウ</t>
    </rPh>
    <phoneticPr fontId="3"/>
  </si>
  <si>
    <t>制動停止距離</t>
    <rPh sb="0" eb="2">
      <t>セイドウ</t>
    </rPh>
    <rPh sb="2" eb="6">
      <t>テイシキョリ</t>
    </rPh>
    <phoneticPr fontId="3"/>
  </si>
  <si>
    <t>初速</t>
    <rPh sb="0" eb="2">
      <t>ショソク</t>
    </rPh>
    <phoneticPr fontId="3"/>
  </si>
  <si>
    <t>制動距離</t>
    <rPh sb="0" eb="4">
      <t>セイドウキョリ</t>
    </rPh>
    <phoneticPr fontId="3"/>
  </si>
  <si>
    <t>制動力</t>
    <rPh sb="0" eb="3">
      <t>セイドウリョク</t>
    </rPh>
    <phoneticPr fontId="3"/>
  </si>
  <si>
    <t>km/ｈ</t>
    <phoneticPr fontId="3"/>
  </si>
  <si>
    <t>主ブレーキの減速度</t>
    <rPh sb="0" eb="1">
      <t>シュ</t>
    </rPh>
    <rPh sb="6" eb="9">
      <t>ゲンソクド</t>
    </rPh>
    <phoneticPr fontId="3"/>
  </si>
  <si>
    <t>操作力</t>
    <rPh sb="0" eb="3">
      <t>ソウサリョク</t>
    </rPh>
    <phoneticPr fontId="3"/>
  </si>
  <si>
    <t>操作方法</t>
    <rPh sb="0" eb="4">
      <t>ソウサホウホウ</t>
    </rPh>
    <phoneticPr fontId="3"/>
  </si>
  <si>
    <t>M</t>
    <phoneticPr fontId="3"/>
  </si>
  <si>
    <t>M’</t>
    <phoneticPr fontId="3"/>
  </si>
  <si>
    <t>Wd</t>
    <phoneticPr fontId="3"/>
  </si>
  <si>
    <t>S</t>
    <phoneticPr fontId="3"/>
  </si>
  <si>
    <t>a</t>
    <phoneticPr fontId="3"/>
  </si>
  <si>
    <t>kW</t>
    <phoneticPr fontId="3"/>
  </si>
  <si>
    <t>FS</t>
    <phoneticPr fontId="3"/>
  </si>
  <si>
    <t xml:space="preserve">kg </t>
    <phoneticPr fontId="3"/>
  </si>
  <si>
    <t xml:space="preserve">m </t>
    <phoneticPr fontId="3"/>
  </si>
  <si>
    <t>(初速</t>
    <rPh sb="1" eb="3">
      <t>ショソク</t>
    </rPh>
    <phoneticPr fontId="3"/>
  </si>
  <si>
    <t>km/ｈ）</t>
    <phoneticPr fontId="3"/>
  </si>
  <si>
    <t>(操作力</t>
    <rPh sb="1" eb="4">
      <t>ソウサリョク</t>
    </rPh>
    <phoneticPr fontId="3"/>
  </si>
  <si>
    <t>N）</t>
    <phoneticPr fontId="3"/>
  </si>
  <si>
    <t>注1</t>
    <rPh sb="0" eb="1">
      <t>チュウ</t>
    </rPh>
    <phoneticPr fontId="3"/>
  </si>
  <si>
    <t>注2</t>
    <rPh sb="0" eb="1">
      <t>チュウ</t>
    </rPh>
    <phoneticPr fontId="3"/>
  </si>
  <si>
    <t>注3</t>
    <rPh sb="0" eb="1">
      <t>チュウ</t>
    </rPh>
    <phoneticPr fontId="3"/>
  </si>
  <si>
    <t>注1：</t>
    <rPh sb="0" eb="1">
      <t>チュウ</t>
    </rPh>
    <phoneticPr fontId="3"/>
  </si>
  <si>
    <t>制動停止距離、減速度とも不明な場合は、a ＝ 主制動装置の制動力 / 車両総重量とする</t>
    <rPh sb="0" eb="2">
      <t>セイドウ</t>
    </rPh>
    <rPh sb="2" eb="6">
      <t>テイシキョリ</t>
    </rPh>
    <rPh sb="7" eb="10">
      <t>ゲンソクド</t>
    </rPh>
    <rPh sb="12" eb="14">
      <t>フメイ</t>
    </rPh>
    <rPh sb="15" eb="17">
      <t>バアイ</t>
    </rPh>
    <rPh sb="23" eb="24">
      <t>シュ</t>
    </rPh>
    <rPh sb="24" eb="28">
      <t>セイドウソウチ</t>
    </rPh>
    <rPh sb="29" eb="32">
      <t>セイドウリョク</t>
    </rPh>
    <rPh sb="35" eb="40">
      <t>シャリョウソウジュウリョウ</t>
    </rPh>
    <phoneticPr fontId="3"/>
  </si>
  <si>
    <t>a＝</t>
    <phoneticPr fontId="3"/>
  </si>
  <si>
    <t>主制動装置の制動力 F / 車両総重量 M</t>
    <rPh sb="0" eb="1">
      <t>シュ</t>
    </rPh>
    <rPh sb="1" eb="5">
      <t>セイドウソウチ</t>
    </rPh>
    <rPh sb="6" eb="9">
      <t>セイドウリョク</t>
    </rPh>
    <rPh sb="14" eb="19">
      <t>シャリョウソウジュウリョウ</t>
    </rPh>
    <phoneticPr fontId="3"/>
  </si>
  <si>
    <t>＝</t>
    <phoneticPr fontId="3"/>
  </si>
  <si>
    <t>/</t>
    <phoneticPr fontId="3"/>
  </si>
  <si>
    <t>注2：</t>
    <rPh sb="0" eb="1">
      <t>チュウ</t>
    </rPh>
    <phoneticPr fontId="3"/>
  </si>
  <si>
    <t>諸元表の最高出力の単位が異なる場合、次により換算する。</t>
    <rPh sb="0" eb="3">
      <t>ショゲンヒョウ</t>
    </rPh>
    <rPh sb="4" eb="8">
      <t>サイコウシュツリョク</t>
    </rPh>
    <rPh sb="9" eb="11">
      <t>タンイ</t>
    </rPh>
    <rPh sb="12" eb="13">
      <t>コト</t>
    </rPh>
    <rPh sb="15" eb="17">
      <t>バアイ</t>
    </rPh>
    <rPh sb="18" eb="19">
      <t>ツギ</t>
    </rPh>
    <rPh sb="22" eb="24">
      <t>カンサン</t>
    </rPh>
    <phoneticPr fontId="3"/>
  </si>
  <si>
    <t>kW＝</t>
    <phoneticPr fontId="3"/>
  </si>
  <si>
    <r>
      <t xml:space="preserve">最高出力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換算係数</t>
    </r>
    <rPh sb="0" eb="4">
      <t>サイコウシュツリョク</t>
    </rPh>
    <rPh sb="7" eb="9">
      <t>カンサン</t>
    </rPh>
    <rPh sb="9" eb="11">
      <t>ケイスウ</t>
    </rPh>
    <phoneticPr fontId="3"/>
  </si>
  <si>
    <t>✕</t>
    <phoneticPr fontId="3"/>
  </si>
  <si>
    <t>注3：</t>
    <rPh sb="0" eb="1">
      <t>チュウ</t>
    </rPh>
    <phoneticPr fontId="3"/>
  </si>
  <si>
    <t>ブレーキの制動力、操作力の単位が kgf の場合次の式により換算する。</t>
    <rPh sb="5" eb="8">
      <t>セイドウリョク</t>
    </rPh>
    <rPh sb="9" eb="12">
      <t>ソウサリョク</t>
    </rPh>
    <rPh sb="13" eb="15">
      <t>タンイ</t>
    </rPh>
    <rPh sb="22" eb="24">
      <t>バアイ</t>
    </rPh>
    <rPh sb="24" eb="25">
      <t>ツギ</t>
    </rPh>
    <rPh sb="26" eb="27">
      <t>シキ</t>
    </rPh>
    <rPh sb="30" eb="32">
      <t>カンサン</t>
    </rPh>
    <phoneticPr fontId="3"/>
  </si>
  <si>
    <r>
      <t xml:space="preserve">kgf 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</rPr>
      <t xml:space="preserve"> 9.8</t>
    </r>
    <phoneticPr fontId="3"/>
  </si>
  <si>
    <t>(主)制動力：</t>
    <rPh sb="1" eb="2">
      <t>シュ</t>
    </rPh>
    <rPh sb="3" eb="6">
      <t>セイドウリョク</t>
    </rPh>
    <phoneticPr fontId="3"/>
  </si>
  <si>
    <t>(駐)制動力：</t>
    <rPh sb="1" eb="2">
      <t>チュウ</t>
    </rPh>
    <rPh sb="3" eb="6">
      <t>セイドウリョク</t>
    </rPh>
    <phoneticPr fontId="3"/>
  </si>
  <si>
    <t>(駐)操作力：</t>
    <rPh sb="1" eb="2">
      <t>チュウ</t>
    </rPh>
    <rPh sb="3" eb="5">
      <t>ソウサ</t>
    </rPh>
    <rPh sb="5" eb="6">
      <t>チカラ</t>
    </rPh>
    <phoneticPr fontId="3"/>
  </si>
  <si>
    <t>駐車ブレーキの操作力が、以下の既定値に満たない場合、</t>
    <rPh sb="0" eb="2">
      <t>チュウシャ</t>
    </rPh>
    <rPh sb="7" eb="10">
      <t>ソウサリョク</t>
    </rPh>
    <rPh sb="12" eb="14">
      <t>イカ</t>
    </rPh>
    <rPh sb="15" eb="18">
      <t>キテイチ</t>
    </rPh>
    <rPh sb="19" eb="20">
      <t>ミ</t>
    </rPh>
    <rPh sb="23" eb="25">
      <t>バアイ</t>
    </rPh>
    <phoneticPr fontId="3"/>
  </si>
  <si>
    <t>制動停止距離の初速が 50km/h の自動車</t>
    <rPh sb="0" eb="2">
      <t>セイドウ</t>
    </rPh>
    <rPh sb="2" eb="6">
      <t>テイシキョリ</t>
    </rPh>
    <rPh sb="7" eb="9">
      <t>ショソク</t>
    </rPh>
    <rPh sb="19" eb="22">
      <t>ジドウシャ</t>
    </rPh>
    <phoneticPr fontId="3"/>
  </si>
  <si>
    <t>制動停止距離の初速が 50km/h 以外の乗用車</t>
    <rPh sb="0" eb="2">
      <t>セイドウ</t>
    </rPh>
    <rPh sb="2" eb="6">
      <t>テイシキョリ</t>
    </rPh>
    <rPh sb="7" eb="9">
      <t>ショソク</t>
    </rPh>
    <rPh sb="18" eb="20">
      <t>イガイ</t>
    </rPh>
    <rPh sb="21" eb="24">
      <t>ジョウヨウシャ</t>
    </rPh>
    <phoneticPr fontId="3"/>
  </si>
  <si>
    <t>上記以外の自動車</t>
    <rPh sb="0" eb="4">
      <t>ジョウキイガイ</t>
    </rPh>
    <rPh sb="5" eb="8">
      <t>ジドウシャ</t>
    </rPh>
    <phoneticPr fontId="3"/>
  </si>
  <si>
    <t>：</t>
    <phoneticPr fontId="3"/>
  </si>
  <si>
    <t>手動式の場合</t>
    <rPh sb="0" eb="3">
      <t>シュドウシキ</t>
    </rPh>
    <rPh sb="4" eb="6">
      <t>バアイ</t>
    </rPh>
    <phoneticPr fontId="3"/>
  </si>
  <si>
    <t>足動式の場合</t>
    <rPh sb="0" eb="1">
      <t>ソク</t>
    </rPh>
    <rPh sb="1" eb="2">
      <t>ドウ</t>
    </rPh>
    <rPh sb="2" eb="3">
      <t>シキ</t>
    </rPh>
    <rPh sb="4" eb="6">
      <t>バアイ</t>
    </rPh>
    <phoneticPr fontId="3"/>
  </si>
  <si>
    <t>N＝</t>
    <phoneticPr fontId="3"/>
  </si>
  <si>
    <r>
      <t xml:space="preserve">（諸元表の制動力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操作力の既定値）÷ （諸元表の操作力）</t>
    </r>
    <rPh sb="1" eb="4">
      <t>ショゲンヒョウ</t>
    </rPh>
    <rPh sb="5" eb="8">
      <t>セイドウリョク</t>
    </rPh>
    <rPh sb="11" eb="14">
      <t>ソウサリョク</t>
    </rPh>
    <rPh sb="15" eb="18">
      <t>キテイチ</t>
    </rPh>
    <rPh sb="22" eb="25">
      <t>ショゲンヒョウ</t>
    </rPh>
    <rPh sb="26" eb="29">
      <t>ソウサリョク</t>
    </rPh>
    <phoneticPr fontId="3"/>
  </si>
  <si>
    <t>（</t>
    <phoneticPr fontId="3"/>
  </si>
  <si>
    <t>)÷(</t>
    <phoneticPr fontId="3"/>
  </si>
  <si>
    <t>）</t>
    <phoneticPr fontId="3"/>
  </si>
  <si>
    <t>車両総重量　(kg)</t>
    <rPh sb="0" eb="5">
      <t>シャリョウソウジュウリョウ</t>
    </rPh>
    <phoneticPr fontId="3"/>
  </si>
  <si>
    <t>車両重量</t>
    <rPh sb="0" eb="4">
      <t>シャリョウジュウリョウ</t>
    </rPh>
    <phoneticPr fontId="3"/>
  </si>
  <si>
    <t>駆動軸の重量 （kg)</t>
    <rPh sb="0" eb="3">
      <t>クドウジク</t>
    </rPh>
    <rPh sb="4" eb="6">
      <t>ジュウリョウ</t>
    </rPh>
    <phoneticPr fontId="3"/>
  </si>
  <si>
    <t xml:space="preserve"> 　積車時の軸重</t>
    <rPh sb="2" eb="4">
      <t>セキシャ</t>
    </rPh>
    <rPh sb="4" eb="5">
      <t>ジ</t>
    </rPh>
    <rPh sb="6" eb="8">
      <t>ジクジュウ</t>
    </rPh>
    <phoneticPr fontId="3"/>
  </si>
  <si>
    <t>けん引車の種類・区分</t>
    <rPh sb="2" eb="4">
      <t>インシャ</t>
    </rPh>
    <rPh sb="5" eb="7">
      <t>シュルイ</t>
    </rPh>
    <rPh sb="8" eb="10">
      <t>クブン</t>
    </rPh>
    <phoneticPr fontId="3"/>
  </si>
  <si>
    <t>制動停止距離（m）　 初速（km/h）</t>
    <rPh sb="0" eb="2">
      <t>セイドウ</t>
    </rPh>
    <rPh sb="2" eb="4">
      <t>テイシ</t>
    </rPh>
    <rPh sb="4" eb="6">
      <t>キョリ</t>
    </rPh>
    <rPh sb="11" eb="13">
      <t>ショソク</t>
    </rPh>
    <phoneticPr fontId="3"/>
  </si>
  <si>
    <t xml:space="preserve">主制動装置の制動力　（N) </t>
    <rPh sb="0" eb="1">
      <t>シュ</t>
    </rPh>
    <rPh sb="1" eb="5">
      <t>セイドウソウチ</t>
    </rPh>
    <rPh sb="6" eb="9">
      <t>セイドウリョク</t>
    </rPh>
    <phoneticPr fontId="3"/>
  </si>
  <si>
    <t>最高出力 （kW）</t>
    <rPh sb="0" eb="4">
      <t>サイコウシュツリョク</t>
    </rPh>
    <phoneticPr fontId="3"/>
  </si>
  <si>
    <t>駐車ブレーキ制動力　（N) 　操作力 （N)</t>
    <rPh sb="0" eb="2">
      <t>チュウシャ</t>
    </rPh>
    <rPh sb="6" eb="9">
      <t>セイドウリョク</t>
    </rPh>
    <rPh sb="15" eb="18">
      <t>ソウサリョク</t>
    </rPh>
    <phoneticPr fontId="3"/>
  </si>
  <si>
    <t>制動力の値は次の計算により修正すること。</t>
    <rPh sb="0" eb="3">
      <t>セイドウリョク</t>
    </rPh>
    <rPh sb="4" eb="5">
      <t>アタイ</t>
    </rPh>
    <rPh sb="6" eb="7">
      <t>ツギ</t>
    </rPh>
    <rPh sb="8" eb="10">
      <t>ケイサン</t>
    </rPh>
    <rPh sb="13" eb="15">
      <t>シュウセイ</t>
    </rPh>
    <phoneticPr fontId="3"/>
  </si>
  <si>
    <t>重量 m1 ～ m6を計算</t>
    <rPh sb="0" eb="2">
      <t>ジュウリョウ</t>
    </rPh>
    <rPh sb="11" eb="13">
      <t>ケイサン</t>
    </rPh>
    <phoneticPr fontId="3"/>
  </si>
  <si>
    <t>m1 の計算</t>
    <rPh sb="4" eb="6">
      <t>ケイサン</t>
    </rPh>
    <phoneticPr fontId="3"/>
  </si>
  <si>
    <t>m1 ＝</t>
    <phoneticPr fontId="3"/>
  </si>
  <si>
    <r>
      <t xml:space="preserve">0.85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FS ー M</t>
    </r>
    <phoneticPr fontId="3"/>
  </si>
  <si>
    <t>）ー</t>
    <phoneticPr fontId="3"/>
  </si>
  <si>
    <t>m2 の計算</t>
    <rPh sb="4" eb="6">
      <t>ケイサン</t>
    </rPh>
    <phoneticPr fontId="3"/>
  </si>
  <si>
    <t>制動停止距離の初速が50km/ｈのもの</t>
    <rPh sb="0" eb="2">
      <t>セイドウ</t>
    </rPh>
    <rPh sb="2" eb="6">
      <t>テイシキョリ</t>
    </rPh>
    <rPh sb="7" eb="9">
      <t>ショソク</t>
    </rPh>
    <phoneticPr fontId="3"/>
  </si>
  <si>
    <t>m2 ＝</t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</si>
  <si>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（17/（ S ー 5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</si>
  <si>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</rPr>
      <t>（17 /（</t>
    </r>
    <phoneticPr fontId="3"/>
  </si>
  <si>
    <r>
      <t>ー 5 ）ー １）</t>
    </r>
    <r>
      <rPr>
        <sz val="9"/>
        <color theme="1"/>
        <rFont val="Segoe UI Symbol"/>
        <family val="2"/>
      </rPr>
      <t>✕</t>
    </r>
    <phoneticPr fontId="3"/>
  </si>
  <si>
    <t>制動停止距離の初速が60km/ｈのもの</t>
    <rPh sb="0" eb="2">
      <t>セイドウ</t>
    </rPh>
    <rPh sb="2" eb="6">
      <t>テイシキョリ</t>
    </rPh>
    <rPh sb="7" eb="9">
      <t>ショソク</t>
    </rPh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</si>
  <si>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（24.5/（ S ー 6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</si>
  <si>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</rPr>
      <t>（24.5 / (</t>
    </r>
    <phoneticPr fontId="3"/>
  </si>
  <si>
    <r>
      <t>ー 6 ）ー １）</t>
    </r>
    <r>
      <rPr>
        <sz val="9"/>
        <color theme="1"/>
        <rFont val="Segoe UI Symbol"/>
        <family val="2"/>
      </rPr>
      <t>✕</t>
    </r>
    <phoneticPr fontId="3"/>
  </si>
  <si>
    <t>制動停止距離の初速が80km/ｈのもの</t>
    <rPh sb="0" eb="2">
      <t>セイドウ</t>
    </rPh>
    <rPh sb="2" eb="6">
      <t>テイシキョリ</t>
    </rPh>
    <rPh sb="7" eb="9">
      <t>ショソク</t>
    </rPh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</si>
  <si>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（43.5/（ S ー 8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</si>
  <si>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</rPr>
      <t>（43.5 /（</t>
    </r>
    <phoneticPr fontId="3"/>
  </si>
  <si>
    <t>制動停止距離の初速が100km/ｈのもの</t>
    <rPh sb="0" eb="2">
      <t>セイドウ</t>
    </rPh>
    <rPh sb="2" eb="6">
      <t>テイシキョリ</t>
    </rPh>
    <rPh sb="7" eb="9">
      <t>ショソク</t>
    </rPh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</si>
  <si>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（68/（ S ー 10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</si>
  <si>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</rPr>
      <t>（68 /（</t>
    </r>
    <phoneticPr fontId="3"/>
  </si>
  <si>
    <r>
      <t>ー 8 ）ー １）</t>
    </r>
    <r>
      <rPr>
        <sz val="9"/>
        <color theme="1"/>
        <rFont val="Segoe UI Symbol"/>
        <family val="2"/>
      </rPr>
      <t>✕</t>
    </r>
    <phoneticPr fontId="3"/>
  </si>
  <si>
    <r>
      <t>ー 10 ）ー １）</t>
    </r>
    <r>
      <rPr>
        <sz val="9"/>
        <color theme="1"/>
        <rFont val="Segoe UI Symbol"/>
        <family val="2"/>
      </rPr>
      <t>✕</t>
    </r>
    <phoneticPr fontId="3"/>
  </si>
  <si>
    <t>制動停止距離は不明だが減速度の記載がある場合</t>
    <rPh sb="0" eb="2">
      <t>セイドウ</t>
    </rPh>
    <rPh sb="2" eb="6">
      <t>テイシキョリ</t>
    </rPh>
    <rPh sb="7" eb="9">
      <t>フメイ</t>
    </rPh>
    <rPh sb="11" eb="14">
      <t>ゲンソクド</t>
    </rPh>
    <rPh sb="15" eb="17">
      <t>キサイ</t>
    </rPh>
    <rPh sb="20" eb="22">
      <t>バアイ</t>
    </rPh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</si>
  <si>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（ a /（ 5.67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</si>
  <si>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r>
      <t xml:space="preserve">7.36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>（</t>
    </r>
    <phoneticPr fontId="3"/>
  </si>
  <si>
    <r>
      <t>/ (5.67)－1）</t>
    </r>
    <r>
      <rPr>
        <sz val="9"/>
        <color theme="1"/>
        <rFont val="Segoe UI Symbol"/>
        <family val="2"/>
      </rPr>
      <t>✕</t>
    </r>
    <phoneticPr fontId="3"/>
  </si>
  <si>
    <t>m3 の計算</t>
    <rPh sb="4" eb="6">
      <t>ケイサン</t>
    </rPh>
    <phoneticPr fontId="3"/>
  </si>
  <si>
    <r>
      <t>（17/（ S ー 5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</si>
  <si>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t>（17 /（</t>
    <phoneticPr fontId="3"/>
  </si>
  <si>
    <r>
      <t>（24.5/（ S ー 6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</si>
  <si>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t>（24.5 / (</t>
    <phoneticPr fontId="3"/>
  </si>
  <si>
    <r>
      <t>（43.5/（ S ー 8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</si>
  <si>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t>（43.5 /（</t>
    <phoneticPr fontId="3"/>
  </si>
  <si>
    <r>
      <t xml:space="preserve"> （68/（ S ー 10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</si>
  <si>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t>（68 /（</t>
    <phoneticPr fontId="3"/>
  </si>
  <si>
    <r>
      <t>（ a /（ 5.67 ）－ 1 ）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M</t>
    </r>
    <phoneticPr fontId="3"/>
  </si>
  <si>
    <t>m4 ＝</t>
    <phoneticPr fontId="3"/>
  </si>
  <si>
    <t>M’ / 2</t>
    <phoneticPr fontId="3"/>
  </si>
  <si>
    <t>m5 ＝</t>
    <phoneticPr fontId="3"/>
  </si>
  <si>
    <r>
      <t xml:space="preserve">164.51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kW ー 1900 － M</t>
    </r>
    <phoneticPr fontId="3"/>
  </si>
  <si>
    <r>
      <t xml:space="preserve">164.51 </t>
    </r>
    <r>
      <rPr>
        <sz val="9"/>
        <color theme="1"/>
        <rFont val="Segoe UI Symbol"/>
        <family val="2"/>
      </rPr>
      <t>✕</t>
    </r>
    <phoneticPr fontId="3"/>
  </si>
  <si>
    <t xml:space="preserve">ー 1900 ー </t>
    <phoneticPr fontId="3"/>
  </si>
  <si>
    <t>m4 の計算</t>
    <rPh sb="4" eb="6">
      <t>ケイサン</t>
    </rPh>
    <phoneticPr fontId="3"/>
  </si>
  <si>
    <t>m5 の計算</t>
    <rPh sb="4" eb="6">
      <t>ケイサン</t>
    </rPh>
    <phoneticPr fontId="3"/>
  </si>
  <si>
    <t>m6 の計算</t>
    <rPh sb="4" eb="6">
      <t>ケイサン</t>
    </rPh>
    <phoneticPr fontId="3"/>
  </si>
  <si>
    <t>m6 ＝</t>
    <phoneticPr fontId="3"/>
  </si>
  <si>
    <r>
      <t xml:space="preserve">4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  <scheme val="minor"/>
      </rPr>
      <t xml:space="preserve"> Wd － M</t>
    </r>
    <phoneticPr fontId="3"/>
  </si>
  <si>
    <r>
      <t xml:space="preserve">4 </t>
    </r>
    <r>
      <rPr>
        <sz val="9"/>
        <color theme="1"/>
        <rFont val="Segoe UI Symbol"/>
        <family val="2"/>
      </rPr>
      <t>✕</t>
    </r>
    <r>
      <rPr>
        <sz val="9"/>
        <color theme="1"/>
        <rFont val="游ゴシック"/>
        <family val="2"/>
        <charset val="128"/>
      </rPr>
      <t xml:space="preserve"> </t>
    </r>
    <phoneticPr fontId="3"/>
  </si>
  <si>
    <t>ー</t>
    <phoneticPr fontId="3"/>
  </si>
  <si>
    <t>制動装置有りの場合のけん引荷重</t>
    <rPh sb="0" eb="4">
      <t>セイドウソウチ</t>
    </rPh>
    <rPh sb="4" eb="5">
      <t>ア</t>
    </rPh>
    <rPh sb="7" eb="9">
      <t>バアイ</t>
    </rPh>
    <rPh sb="12" eb="13">
      <t>イン</t>
    </rPh>
    <rPh sb="13" eb="15">
      <t>カジュウ</t>
    </rPh>
    <phoneticPr fontId="3"/>
  </si>
  <si>
    <t>m1</t>
    <phoneticPr fontId="3"/>
  </si>
  <si>
    <t>m2</t>
    <phoneticPr fontId="3"/>
  </si>
  <si>
    <t>m5</t>
    <phoneticPr fontId="3"/>
  </si>
  <si>
    <t>m6</t>
    <phoneticPr fontId="3"/>
  </si>
  <si>
    <t>左表中、最小の値</t>
    <rPh sb="0" eb="1">
      <t>サ</t>
    </rPh>
    <rPh sb="1" eb="2">
      <t>ヒョウ</t>
    </rPh>
    <rPh sb="2" eb="3">
      <t>チュウ</t>
    </rPh>
    <rPh sb="4" eb="6">
      <t>サイショウ</t>
    </rPh>
    <rPh sb="7" eb="8">
      <t>アタイ</t>
    </rPh>
    <phoneticPr fontId="3"/>
  </si>
  <si>
    <t>制動装置無しの場合のけん引荷重</t>
    <rPh sb="0" eb="4">
      <t>セイドウソウチ</t>
    </rPh>
    <rPh sb="4" eb="5">
      <t>ナ</t>
    </rPh>
    <rPh sb="7" eb="9">
      <t>バアイ</t>
    </rPh>
    <rPh sb="12" eb="13">
      <t>イン</t>
    </rPh>
    <rPh sb="13" eb="15">
      <t>カジュウ</t>
    </rPh>
    <phoneticPr fontId="3"/>
  </si>
  <si>
    <t>m3</t>
    <phoneticPr fontId="3"/>
  </si>
  <si>
    <t>m4</t>
    <phoneticPr fontId="3"/>
  </si>
  <si>
    <t>（10kg未満切り捨て）</t>
    <rPh sb="5" eb="7">
      <t>ミマン</t>
    </rPh>
    <rPh sb="7" eb="8">
      <t>キ</t>
    </rPh>
    <rPh sb="9" eb="10">
      <t>ス</t>
    </rPh>
    <phoneticPr fontId="3"/>
  </si>
  <si>
    <t>10号入力事項</t>
    <rPh sb="2" eb="3">
      <t>ゴウ</t>
    </rPh>
    <rPh sb="3" eb="5">
      <t>ニュウリョク</t>
    </rPh>
    <rPh sb="5" eb="7">
      <t>ジコウ</t>
    </rPh>
    <phoneticPr fontId="3"/>
  </si>
  <si>
    <t>コード［ 950 ］</t>
    <phoneticPr fontId="3"/>
  </si>
  <si>
    <t>（牽引可能なキャンピングトレーラ等の車両総重量は</t>
    <rPh sb="1" eb="3">
      <t>ケンイン</t>
    </rPh>
    <rPh sb="3" eb="5">
      <t>カノウ</t>
    </rPh>
    <rPh sb="16" eb="17">
      <t>トウ</t>
    </rPh>
    <rPh sb="18" eb="23">
      <t>シャリョウソウジュウリョウ</t>
    </rPh>
    <phoneticPr fontId="3"/>
  </si>
  <si>
    <t>主ブレーキありの場合及び主ブレーキ無しの場合、）</t>
    <rPh sb="0" eb="1">
      <t>シュ</t>
    </rPh>
    <rPh sb="8" eb="10">
      <t>バアイ</t>
    </rPh>
    <rPh sb="10" eb="11">
      <t>オヨ</t>
    </rPh>
    <rPh sb="12" eb="13">
      <t>シュ</t>
    </rPh>
    <rPh sb="17" eb="18">
      <t>ナ</t>
    </rPh>
    <rPh sb="20" eb="22">
      <t>バアイ</t>
    </rPh>
    <phoneticPr fontId="3"/>
  </si>
  <si>
    <t>それぞれ</t>
    <phoneticPr fontId="3"/>
  </si>
  <si>
    <t>KG及び</t>
    <rPh sb="2" eb="3">
      <t>オヨ</t>
    </rPh>
    <phoneticPr fontId="3"/>
  </si>
  <si>
    <t>KG とする。</t>
    <phoneticPr fontId="3"/>
  </si>
  <si>
    <t>m3 ＝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</si>
</sst>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9"/>
      <color theme="1"/>
      <name val="游ゴシック"/>
      <family val="2"/>
      <charset val="128"/>
      <scheme val="minor"/>
    </font>
    <font>
      <sz val="9"/>
      <color theme="0"/>
      <name val="游ゴシック"/>
      <family val="2"/>
      <charset val="128"/>
      <scheme val="minor"/>
    </font>
    <font>
      <sz val="9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9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HGPｺﾞｼｯｸM"/>
      <family val="3"/>
      <charset val="128"/>
    </font>
    <font>
      <sz val="8"/>
      <color rgb="FFFF0000"/>
      <name val="游ゴシック"/>
      <family val="3"/>
      <charset val="128"/>
      <scheme val="minor"/>
    </font>
    <font>
      <sz val="9"/>
      <color theme="1"/>
      <name val="Segoe UI Symbol"/>
      <family val="2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quotePrefix="1" applyAlignme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</cellXfs>
  <cellStyles count="2">
    <cellStyle name="標準" xfId="0" builtinId="0"/>
    <cellStyle name="標準 2" xfId="1" xr:uid="{75E911A8-0E5A-4A89-BE5C-11D17A6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03EE5-0BFD-4F53-B64E-76F09CCC099D}">
  <dimension ref="A1:X126"/>
  <sheetViews>
    <sheetView showGridLines="0" showRowColHeaders="0" tabSelected="1" showRuler="0" view="pageLayout" zoomScaleNormal="100" workbookViewId="0">
      <selection activeCell="S11" sqref="S11:X11"/>
    </sheetView>
  </sheetViews>
  <sheetFormatPr defaultColWidth="4.5703125" defaultRowHeight="15.75"/>
  <sheetData>
    <row r="1" spans="1:24" ht="17.25">
      <c r="A1" s="44" t="s">
        <v>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</row>
    <row r="2" spans="1:24" ht="12.75" customHeight="1"/>
    <row r="3" spans="1:24" ht="12.75" customHeight="1">
      <c r="B3" s="23" t="s">
        <v>9</v>
      </c>
      <c r="C3" s="23"/>
      <c r="D3" s="23"/>
      <c r="E3" s="23"/>
      <c r="F3" s="32"/>
      <c r="G3" s="32"/>
      <c r="H3" s="32"/>
      <c r="I3" s="32"/>
      <c r="J3" s="32"/>
      <c r="K3" s="32"/>
      <c r="L3" s="32"/>
      <c r="N3" s="23" t="s">
        <v>10</v>
      </c>
      <c r="O3" s="23"/>
      <c r="P3" s="23"/>
      <c r="Q3" s="23"/>
      <c r="R3" s="32"/>
      <c r="S3" s="32"/>
      <c r="T3" s="32"/>
      <c r="U3" s="32"/>
      <c r="V3" s="32"/>
      <c r="W3" s="32"/>
      <c r="X3" s="32"/>
    </row>
    <row r="4" spans="1:24" ht="12.75" customHeight="1"/>
    <row r="5" spans="1:24" ht="12.75" customHeight="1">
      <c r="B5" s="26" t="s">
        <v>11</v>
      </c>
      <c r="C5" s="26"/>
      <c r="D5" s="26"/>
      <c r="E5" s="26"/>
      <c r="F5" s="39"/>
      <c r="G5" s="39"/>
      <c r="H5" s="39"/>
      <c r="I5" s="39"/>
      <c r="J5" s="39"/>
      <c r="K5" s="39"/>
      <c r="L5" s="39"/>
      <c r="N5" s="26" t="s">
        <v>15</v>
      </c>
      <c r="O5" s="26"/>
      <c r="P5" s="26"/>
      <c r="Q5" s="26" t="s">
        <v>16</v>
      </c>
      <c r="R5" s="26"/>
      <c r="S5" s="39"/>
      <c r="T5" s="39"/>
      <c r="U5" s="39"/>
      <c r="V5" s="39"/>
      <c r="W5" s="26" t="s">
        <v>19</v>
      </c>
      <c r="X5" s="26"/>
    </row>
    <row r="6" spans="1:24" ht="12.75" customHeight="1">
      <c r="B6" s="26" t="s">
        <v>72</v>
      </c>
      <c r="C6" s="26"/>
      <c r="D6" s="26"/>
      <c r="E6" s="26"/>
      <c r="F6" s="46"/>
      <c r="G6" s="39"/>
      <c r="H6" s="39"/>
      <c r="I6" s="39"/>
      <c r="J6" s="39"/>
      <c r="K6" s="39"/>
      <c r="L6" s="39"/>
      <c r="N6" s="26"/>
      <c r="O6" s="26"/>
      <c r="P6" s="26"/>
      <c r="Q6" s="26" t="s">
        <v>17</v>
      </c>
      <c r="R6" s="26"/>
      <c r="S6" s="39"/>
      <c r="T6" s="39"/>
      <c r="U6" s="39"/>
      <c r="V6" s="39"/>
      <c r="W6" s="26" t="s">
        <v>0</v>
      </c>
      <c r="X6" s="26"/>
    </row>
    <row r="7" spans="1:24" ht="12.75" customHeight="1">
      <c r="B7" s="26"/>
      <c r="C7" s="26"/>
      <c r="D7" s="26"/>
      <c r="E7" s="26"/>
      <c r="F7" s="39"/>
      <c r="G7" s="39"/>
      <c r="H7" s="39"/>
      <c r="I7" s="39"/>
      <c r="J7" s="39"/>
      <c r="K7" s="39"/>
      <c r="L7" s="39"/>
      <c r="N7" s="26"/>
      <c r="O7" s="26"/>
      <c r="P7" s="26"/>
      <c r="Q7" s="26" t="s">
        <v>18</v>
      </c>
      <c r="R7" s="26"/>
      <c r="S7" s="39"/>
      <c r="T7" s="39"/>
      <c r="U7" s="39"/>
      <c r="V7" s="39"/>
      <c r="W7" s="39"/>
      <c r="X7" s="39"/>
    </row>
    <row r="8" spans="1:24" ht="12.75" customHeight="1">
      <c r="B8" s="26" t="s">
        <v>12</v>
      </c>
      <c r="C8" s="26"/>
      <c r="D8" s="26"/>
      <c r="E8" s="26"/>
      <c r="F8" s="39"/>
      <c r="G8" s="39"/>
      <c r="H8" s="39"/>
      <c r="I8" s="39"/>
      <c r="J8" s="39"/>
      <c r="K8" s="39"/>
      <c r="L8" s="39"/>
      <c r="N8" s="26" t="s">
        <v>20</v>
      </c>
      <c r="O8" s="26"/>
      <c r="P8" s="26"/>
      <c r="Q8" s="26"/>
      <c r="R8" s="26"/>
      <c r="S8" s="40"/>
      <c r="T8" s="41"/>
      <c r="U8" s="41"/>
      <c r="V8" s="42"/>
      <c r="W8" s="34" t="s">
        <v>1</v>
      </c>
      <c r="X8" s="43"/>
    </row>
    <row r="9" spans="1:24" ht="12.75" customHeight="1">
      <c r="B9" s="26" t="s">
        <v>13</v>
      </c>
      <c r="C9" s="26"/>
      <c r="D9" s="26"/>
      <c r="E9" s="26"/>
      <c r="F9" s="39"/>
      <c r="G9" s="39"/>
      <c r="H9" s="39"/>
      <c r="I9" s="39"/>
      <c r="J9" s="39"/>
      <c r="K9" s="26" t="s">
        <v>3</v>
      </c>
      <c r="L9" s="26"/>
      <c r="N9" s="26" t="s">
        <v>2</v>
      </c>
      <c r="O9" s="26"/>
      <c r="P9" s="26"/>
      <c r="Q9" s="26" t="s">
        <v>18</v>
      </c>
      <c r="R9" s="26"/>
      <c r="S9" s="39"/>
      <c r="T9" s="39"/>
      <c r="U9" s="39"/>
      <c r="V9" s="39"/>
      <c r="W9" s="39"/>
      <c r="X9" s="39"/>
    </row>
    <row r="10" spans="1:24" ht="12.75" customHeight="1">
      <c r="B10" s="45" t="s">
        <v>14</v>
      </c>
      <c r="C10" s="26"/>
      <c r="D10" s="26"/>
      <c r="E10" s="3" t="s">
        <v>4</v>
      </c>
      <c r="F10" s="39"/>
      <c r="G10" s="39"/>
      <c r="H10" s="39"/>
      <c r="I10" s="39"/>
      <c r="J10" s="39"/>
      <c r="K10" s="26" t="s">
        <v>3</v>
      </c>
      <c r="L10" s="26"/>
      <c r="N10" s="26"/>
      <c r="O10" s="26"/>
      <c r="P10" s="26"/>
      <c r="Q10" s="26" t="s">
        <v>21</v>
      </c>
      <c r="R10" s="26"/>
      <c r="S10" s="39"/>
      <c r="T10" s="39"/>
      <c r="U10" s="39"/>
      <c r="V10" s="39"/>
      <c r="W10" s="39"/>
      <c r="X10" s="39"/>
    </row>
    <row r="11" spans="1:24" ht="12.75" customHeight="1">
      <c r="B11" s="26"/>
      <c r="C11" s="26"/>
      <c r="D11" s="26"/>
      <c r="E11" s="3" t="s">
        <v>5</v>
      </c>
      <c r="F11" s="39"/>
      <c r="G11" s="39"/>
      <c r="H11" s="39"/>
      <c r="I11" s="39"/>
      <c r="J11" s="39"/>
      <c r="K11" s="26" t="s">
        <v>3</v>
      </c>
      <c r="L11" s="26"/>
      <c r="N11" s="26"/>
      <c r="O11" s="26"/>
      <c r="P11" s="26"/>
      <c r="Q11" s="26" t="s">
        <v>22</v>
      </c>
      <c r="R11" s="26"/>
      <c r="S11" s="39"/>
      <c r="T11" s="39"/>
      <c r="U11" s="39"/>
      <c r="V11" s="39"/>
      <c r="W11" s="39"/>
      <c r="X11" s="39"/>
    </row>
    <row r="12" spans="1:24" ht="12.75" customHeight="1"/>
    <row r="13" spans="1:24" ht="12.75" customHeight="1">
      <c r="C13" s="4" t="s">
        <v>23</v>
      </c>
      <c r="D13" s="36" t="s">
        <v>68</v>
      </c>
      <c r="E13" s="37"/>
      <c r="F13" s="37"/>
      <c r="G13" s="37"/>
      <c r="H13" s="37"/>
      <c r="I13" s="37"/>
      <c r="J13" s="37"/>
      <c r="K13" s="38"/>
      <c r="L13" s="25" t="str">
        <f>IF( F10="","",IF( F11="","",F10+F11))</f>
        <v/>
      </c>
      <c r="M13" s="25"/>
      <c r="N13" s="4" t="s">
        <v>30</v>
      </c>
      <c r="O13" s="25"/>
      <c r="P13" s="25"/>
      <c r="Q13" s="25"/>
      <c r="R13" s="25"/>
      <c r="S13" s="25"/>
      <c r="T13" s="25"/>
      <c r="U13" s="25"/>
    </row>
    <row r="14" spans="1:24" ht="12.75" customHeight="1">
      <c r="C14" s="4" t="s">
        <v>24</v>
      </c>
      <c r="D14" s="36" t="s">
        <v>69</v>
      </c>
      <c r="E14" s="37"/>
      <c r="F14" s="37"/>
      <c r="G14" s="37"/>
      <c r="H14" s="37"/>
      <c r="I14" s="37"/>
      <c r="J14" s="37"/>
      <c r="K14" s="38"/>
      <c r="L14" s="25" t="str">
        <f>IF( F9="","",F9)</f>
        <v/>
      </c>
      <c r="M14" s="25"/>
      <c r="N14" s="4" t="s">
        <v>30</v>
      </c>
      <c r="O14" s="25"/>
      <c r="P14" s="25"/>
      <c r="Q14" s="25"/>
      <c r="R14" s="25"/>
      <c r="S14" s="25"/>
      <c r="T14" s="25"/>
      <c r="U14" s="25"/>
    </row>
    <row r="15" spans="1:24" ht="12.75" customHeight="1">
      <c r="C15" s="4" t="s">
        <v>25</v>
      </c>
      <c r="D15" s="36" t="s">
        <v>70</v>
      </c>
      <c r="E15" s="37"/>
      <c r="F15" s="37"/>
      <c r="G15" s="37"/>
      <c r="H15" s="37"/>
      <c r="I15" s="37"/>
      <c r="J15" s="37"/>
      <c r="K15" s="38"/>
      <c r="L15" s="25" t="str">
        <f>IF( F5="","",IF( F5="前輪駆動",F10,IF(F5="後輪駆動",F11,IF( F5="全輪駆動",L13,""))))</f>
        <v/>
      </c>
      <c r="M15" s="25"/>
      <c r="N15" s="4" t="s">
        <v>30</v>
      </c>
      <c r="O15" s="25" t="s">
        <v>71</v>
      </c>
      <c r="P15" s="25"/>
      <c r="Q15" s="25"/>
      <c r="R15" s="25"/>
      <c r="S15" s="25"/>
      <c r="T15" s="25"/>
      <c r="U15" s="25"/>
    </row>
    <row r="16" spans="1:24" ht="12.75" customHeight="1">
      <c r="C16" s="4" t="s">
        <v>26</v>
      </c>
      <c r="D16" s="36" t="s">
        <v>73</v>
      </c>
      <c r="E16" s="37"/>
      <c r="F16" s="37"/>
      <c r="G16" s="37"/>
      <c r="H16" s="37"/>
      <c r="I16" s="37"/>
      <c r="J16" s="37"/>
      <c r="K16" s="38"/>
      <c r="L16" s="25" t="str">
        <f>IF( S6="","",S6)</f>
        <v/>
      </c>
      <c r="M16" s="25"/>
      <c r="N16" s="4" t="s">
        <v>31</v>
      </c>
      <c r="O16" s="28" t="s">
        <v>32</v>
      </c>
      <c r="P16" s="29"/>
      <c r="Q16" s="29" t="str">
        <f>IF( S5="","",S5)</f>
        <v/>
      </c>
      <c r="R16" s="29"/>
      <c r="S16" s="29"/>
      <c r="T16" s="29" t="s">
        <v>33</v>
      </c>
      <c r="U16" s="30"/>
    </row>
    <row r="17" spans="2:23" ht="12.75" customHeight="1">
      <c r="C17" s="4" t="s">
        <v>7</v>
      </c>
      <c r="D17" s="36" t="s">
        <v>74</v>
      </c>
      <c r="E17" s="37"/>
      <c r="F17" s="37"/>
      <c r="G17" s="37"/>
      <c r="H17" s="37"/>
      <c r="I17" s="37"/>
      <c r="J17" s="37"/>
      <c r="K17" s="38"/>
      <c r="L17" s="25" t="str">
        <f>IF( D35="",IF( S7="","",S7),D35)</f>
        <v/>
      </c>
      <c r="M17" s="25"/>
      <c r="N17" s="4" t="s">
        <v>6</v>
      </c>
      <c r="O17" s="5"/>
      <c r="P17" s="6"/>
      <c r="Q17" s="6"/>
      <c r="R17" s="6"/>
      <c r="S17" s="6"/>
      <c r="T17" s="6"/>
      <c r="U17" s="7"/>
    </row>
    <row r="18" spans="2:23" ht="12.75" customHeight="1">
      <c r="C18" s="4" t="s">
        <v>27</v>
      </c>
      <c r="D18" s="36" t="s">
        <v>20</v>
      </c>
      <c r="E18" s="37"/>
      <c r="F18" s="37"/>
      <c r="G18" s="37"/>
      <c r="H18" s="37"/>
      <c r="I18" s="37"/>
      <c r="J18" s="37"/>
      <c r="K18" s="38"/>
      <c r="L18" s="25" t="str">
        <f>IF( S8="",IF(D25="","",D25),S8)</f>
        <v/>
      </c>
      <c r="M18" s="25"/>
      <c r="N18" s="4" t="s">
        <v>1</v>
      </c>
      <c r="O18" s="5"/>
      <c r="P18" s="6"/>
      <c r="Q18" s="6"/>
      <c r="R18" s="6"/>
      <c r="S18" s="6"/>
      <c r="T18" s="6"/>
      <c r="U18" s="8" t="s">
        <v>36</v>
      </c>
    </row>
    <row r="19" spans="2:23" ht="12.75" customHeight="1">
      <c r="C19" s="4" t="s">
        <v>28</v>
      </c>
      <c r="D19" s="36" t="s">
        <v>75</v>
      </c>
      <c r="E19" s="37"/>
      <c r="F19" s="37"/>
      <c r="G19" s="37"/>
      <c r="H19" s="37"/>
      <c r="I19" s="37"/>
      <c r="J19" s="37"/>
      <c r="K19" s="38"/>
      <c r="L19" s="25" t="str">
        <f>IF( D30="",IF(F8="","",F8),D30)</f>
        <v/>
      </c>
      <c r="M19" s="25"/>
      <c r="N19" s="4" t="s">
        <v>28</v>
      </c>
      <c r="O19" s="5"/>
      <c r="P19" s="6"/>
      <c r="Q19" s="6"/>
      <c r="R19" s="6"/>
      <c r="S19" s="6"/>
      <c r="T19" s="6"/>
      <c r="U19" s="8" t="s">
        <v>37</v>
      </c>
    </row>
    <row r="20" spans="2:23" ht="12.75" customHeight="1">
      <c r="C20" s="4" t="s">
        <v>29</v>
      </c>
      <c r="D20" s="36" t="s">
        <v>76</v>
      </c>
      <c r="E20" s="37"/>
      <c r="F20" s="37"/>
      <c r="G20" s="37"/>
      <c r="H20" s="37"/>
      <c r="I20" s="37"/>
      <c r="J20" s="37"/>
      <c r="K20" s="38"/>
      <c r="L20" s="25" t="str">
        <f>IF(C47="",IF(U23="","",U23),C47)</f>
        <v/>
      </c>
      <c r="M20" s="25"/>
      <c r="N20" s="4" t="s">
        <v>6</v>
      </c>
      <c r="O20" s="34" t="s">
        <v>34</v>
      </c>
      <c r="P20" s="35"/>
      <c r="Q20" s="35" t="str">
        <f>IF(G46="",IF(U24="",IF( S10="","",S10),U24),G46)</f>
        <v/>
      </c>
      <c r="R20" s="35"/>
      <c r="S20" s="35" t="s">
        <v>35</v>
      </c>
      <c r="T20" s="35"/>
      <c r="U20" s="8" t="s">
        <v>38</v>
      </c>
    </row>
    <row r="21" spans="2:23" ht="12.75" customHeight="1"/>
    <row r="22" spans="2:23" ht="12.75" customHeight="1">
      <c r="B22" t="s">
        <v>39</v>
      </c>
      <c r="C22" s="9" t="s">
        <v>40</v>
      </c>
    </row>
    <row r="23" spans="2:23" ht="12.75" customHeight="1">
      <c r="C23" s="10" t="s">
        <v>41</v>
      </c>
      <c r="D23" t="s">
        <v>42</v>
      </c>
      <c r="U23" s="33" t="str">
        <f>IF(S9="","",IF(W9="","",IF(W9="N",S9,S9*9.8)))</f>
        <v/>
      </c>
      <c r="V23" s="33"/>
      <c r="W23" s="33"/>
    </row>
    <row r="24" spans="2:23" ht="12.75" customHeight="1">
      <c r="C24" s="10" t="s">
        <v>43</v>
      </c>
      <c r="D24" s="27" t="str">
        <f>IF( S6="",IF( S8="",IF( L17="","",L17)),"")</f>
        <v/>
      </c>
      <c r="E24" s="27"/>
      <c r="F24" s="1" t="s">
        <v>44</v>
      </c>
      <c r="G24" s="27" t="str">
        <f>IF(S6="",IF(S8="",IF( L13="","",L13),""),"")</f>
        <v/>
      </c>
      <c r="H24" s="27"/>
      <c r="U24" s="33" t="str">
        <f>IF(S10="","",IF(W10="","",IF(W10="N",S10,S10*9.8)))</f>
        <v/>
      </c>
      <c r="V24" s="33"/>
      <c r="W24" s="33"/>
    </row>
    <row r="25" spans="2:23" ht="12.75" customHeight="1">
      <c r="C25" s="10" t="s">
        <v>43</v>
      </c>
      <c r="D25" s="27" t="str">
        <f>IF(D24="","",IF(G24="","",ROUND(D24/G24,1)))</f>
        <v/>
      </c>
      <c r="E25" s="27"/>
      <c r="F25" t="s">
        <v>1</v>
      </c>
      <c r="U25" s="14"/>
      <c r="V25" s="14" t="str">
        <f>IF(Q16="","",IF(Q16=50,1,IF(F6="乗用",2,3)))</f>
        <v/>
      </c>
      <c r="W25" s="14"/>
    </row>
    <row r="26" spans="2:23" ht="12.75" customHeight="1">
      <c r="U26" s="18"/>
      <c r="V26" s="18"/>
      <c r="W26" s="18"/>
    </row>
    <row r="27" spans="2:23" ht="12.75" customHeight="1">
      <c r="B27" t="s">
        <v>45</v>
      </c>
      <c r="C27" s="9" t="s">
        <v>46</v>
      </c>
      <c r="U27" s="18"/>
      <c r="V27" s="18"/>
      <c r="W27" s="18"/>
    </row>
    <row r="28" spans="2:23" ht="12.75" customHeight="1">
      <c r="C28" s="11" t="s">
        <v>47</v>
      </c>
      <c r="D28" t="s">
        <v>48</v>
      </c>
    </row>
    <row r="29" spans="2:23" ht="12.75" customHeight="1">
      <c r="C29" s="12" t="s">
        <v>43</v>
      </c>
      <c r="D29" s="27" t="str">
        <f>IF(F8="","",IF(K8="KW","",F8))</f>
        <v/>
      </c>
      <c r="E29" s="27"/>
      <c r="F29" s="13" t="s">
        <v>49</v>
      </c>
      <c r="G29" s="27" t="str">
        <f>IF( K8="","",IF(K8="KW","",IF(K8="HP",0.745,IF(K8="PS",0.735))))</f>
        <v/>
      </c>
      <c r="H29" s="27"/>
    </row>
    <row r="30" spans="2:23" ht="12.75" customHeight="1">
      <c r="C30" s="12" t="s">
        <v>43</v>
      </c>
      <c r="D30" s="27" t="str">
        <f>IF(D29="","",IF(G29="","",ROUND(D29*G29,1)))</f>
        <v/>
      </c>
      <c r="E30" s="27"/>
      <c r="F30" s="1" t="s">
        <v>28</v>
      </c>
    </row>
    <row r="31" spans="2:23" ht="12.75" customHeight="1"/>
    <row r="32" spans="2:23" ht="12.75" customHeight="1">
      <c r="B32" t="s">
        <v>50</v>
      </c>
      <c r="C32" t="s">
        <v>51</v>
      </c>
    </row>
    <row r="33" spans="1:20" ht="12.75" customHeight="1">
      <c r="C33" s="12" t="s">
        <v>53</v>
      </c>
      <c r="D33" t="s">
        <v>52</v>
      </c>
      <c r="K33" s="12" t="s">
        <v>54</v>
      </c>
      <c r="L33" t="s">
        <v>52</v>
      </c>
    </row>
    <row r="34" spans="1:20" ht="12.75" customHeight="1">
      <c r="C34" s="12" t="s">
        <v>43</v>
      </c>
      <c r="D34" s="27" t="str">
        <f>IF( W7="KGF",IF( S7="","",S7),"")</f>
        <v/>
      </c>
      <c r="E34" s="27"/>
      <c r="F34" s="13" t="s">
        <v>49</v>
      </c>
      <c r="G34">
        <v>9.8000000000000007</v>
      </c>
      <c r="K34" s="12" t="s">
        <v>43</v>
      </c>
      <c r="L34" s="27" t="str">
        <f>IF(S9="","",IF(W9="N","",S9))</f>
        <v/>
      </c>
      <c r="M34" s="27"/>
      <c r="N34" s="13" t="s">
        <v>49</v>
      </c>
      <c r="O34">
        <v>9.8000000000000007</v>
      </c>
    </row>
    <row r="35" spans="1:20" ht="12.75" customHeight="1">
      <c r="C35" s="12" t="s">
        <v>43</v>
      </c>
      <c r="D35" s="27" t="str">
        <f>IF( D34="","",D34*G34)</f>
        <v/>
      </c>
      <c r="E35" s="27"/>
      <c r="F35" s="1" t="s">
        <v>6</v>
      </c>
      <c r="K35" s="12" t="s">
        <v>43</v>
      </c>
      <c r="L35" s="27" t="str">
        <f>IF(L34="","",L34*O34)</f>
        <v/>
      </c>
      <c r="M35" s="27"/>
      <c r="N35" s="1" t="s">
        <v>6</v>
      </c>
    </row>
    <row r="36" spans="1:20" ht="12.75" customHeight="1">
      <c r="B36" s="27"/>
      <c r="C36" s="27"/>
      <c r="K36" s="12" t="s">
        <v>55</v>
      </c>
      <c r="L36" t="s">
        <v>52</v>
      </c>
    </row>
    <row r="37" spans="1:20" ht="12.75" customHeight="1">
      <c r="K37" s="12" t="s">
        <v>43</v>
      </c>
      <c r="L37" s="27" t="str">
        <f>IF(S10="","",IF(W10="N","",S10))</f>
        <v/>
      </c>
      <c r="M37" s="27"/>
      <c r="N37" s="13" t="s">
        <v>49</v>
      </c>
      <c r="O37">
        <v>9.8000000000000007</v>
      </c>
    </row>
    <row r="38" spans="1:20" ht="12.75" customHeight="1">
      <c r="K38" s="12" t="s">
        <v>43</v>
      </c>
      <c r="L38" s="27" t="str">
        <f>IF(L37="","",ROUND(L37*9.8,0))</f>
        <v/>
      </c>
      <c r="M38" s="27"/>
      <c r="N38" s="1" t="s">
        <v>6</v>
      </c>
    </row>
    <row r="39" spans="1:20" ht="12.75" customHeight="1"/>
    <row r="40" spans="1:20" ht="12.75" customHeight="1">
      <c r="A40" t="s">
        <v>56</v>
      </c>
    </row>
    <row r="41" spans="1:20" ht="12.75" customHeight="1">
      <c r="A41" t="s">
        <v>57</v>
      </c>
      <c r="I41" s="14">
        <v>1</v>
      </c>
      <c r="J41" s="1" t="s">
        <v>60</v>
      </c>
      <c r="K41" s="27" t="s">
        <v>61</v>
      </c>
      <c r="L41" s="27"/>
      <c r="M41" s="27"/>
      <c r="N41" s="1">
        <v>500</v>
      </c>
      <c r="O41" t="s">
        <v>6</v>
      </c>
      <c r="P41" s="27" t="s">
        <v>62</v>
      </c>
      <c r="Q41" s="27"/>
      <c r="R41" s="27"/>
      <c r="S41" s="1">
        <v>900</v>
      </c>
      <c r="T41" t="s">
        <v>6</v>
      </c>
    </row>
    <row r="42" spans="1:20" ht="12.75" customHeight="1">
      <c r="A42" t="s">
        <v>58</v>
      </c>
      <c r="H42" s="14"/>
      <c r="I42" s="14">
        <v>2</v>
      </c>
      <c r="J42" s="1" t="s">
        <v>60</v>
      </c>
      <c r="K42" s="27" t="s">
        <v>61</v>
      </c>
      <c r="L42" s="27"/>
      <c r="M42" s="27"/>
      <c r="N42" s="1">
        <v>400</v>
      </c>
      <c r="O42" t="s">
        <v>6</v>
      </c>
      <c r="P42" s="27" t="s">
        <v>62</v>
      </c>
      <c r="Q42" s="27"/>
      <c r="R42" s="27"/>
      <c r="S42" s="1">
        <v>500</v>
      </c>
      <c r="T42" t="s">
        <v>6</v>
      </c>
    </row>
    <row r="43" spans="1:20" ht="12.75" customHeight="1">
      <c r="A43" t="s">
        <v>59</v>
      </c>
      <c r="I43" s="14">
        <v>3</v>
      </c>
      <c r="J43" s="1" t="s">
        <v>60</v>
      </c>
      <c r="K43" s="27" t="s">
        <v>61</v>
      </c>
      <c r="L43" s="27"/>
      <c r="M43" s="27"/>
      <c r="N43" s="1">
        <v>600</v>
      </c>
      <c r="O43" t="s">
        <v>6</v>
      </c>
      <c r="P43" s="27" t="s">
        <v>62</v>
      </c>
      <c r="Q43" s="27"/>
      <c r="R43" s="27"/>
      <c r="S43" s="1">
        <v>700</v>
      </c>
      <c r="T43" t="s">
        <v>6</v>
      </c>
    </row>
    <row r="44" spans="1:20" ht="12.75" customHeight="1">
      <c r="A44" t="s">
        <v>77</v>
      </c>
    </row>
    <row r="45" spans="1:20" ht="12.75" customHeight="1">
      <c r="B45" s="12" t="s">
        <v>63</v>
      </c>
      <c r="C45" t="s">
        <v>64</v>
      </c>
    </row>
    <row r="46" spans="1:20" ht="12.75" customHeight="1">
      <c r="B46" s="12" t="s">
        <v>43</v>
      </c>
      <c r="C46" t="s">
        <v>65</v>
      </c>
      <c r="D46" s="27" t="str">
        <f>IF($V$25="","",IF($S$11="手動式",IF(U24&lt;VLOOKUP($V$25,$I$41:$S$43,6,FALSE),U23,""),IF($S$11="足動式",IF(U24&lt;VLOOKUP($V$25,$I$41:$S$43,11,FALSE),U23,""))))</f>
        <v/>
      </c>
      <c r="E46" s="27"/>
      <c r="F46" s="13" t="s">
        <v>49</v>
      </c>
      <c r="G46" s="27" t="str">
        <f>IF($V$25="","",IF($S$11="手動式",IF(U24&lt;VLOOKUP($V$25,$I$41:$S$43,6,FALSE),VLOOKUP($V$25,$I$41:$S$43,6,FALSE),""),IF($S$11="足動式",IF(U24&lt;=VLOOKUP($V$25,$I$41:$S$43,11,FALSE),VLOOKUP($V$25,$I$41:$S$43,11,FALSE),""))))</f>
        <v/>
      </c>
      <c r="H46" s="27"/>
      <c r="I46" s="1" t="s">
        <v>66</v>
      </c>
      <c r="J46" s="27" t="str">
        <f>IF(D46="","",IF(G46="","",U24))</f>
        <v/>
      </c>
      <c r="K46" s="27"/>
      <c r="L46" t="s">
        <v>67</v>
      </c>
    </row>
    <row r="47" spans="1:20" ht="12.75" customHeight="1">
      <c r="B47" s="12" t="s">
        <v>43</v>
      </c>
      <c r="C47" s="27" t="str">
        <f>IF(D46="","",IF(G46="","",IF(J46="","",ROUND(D46*G46/J46,1))))</f>
        <v/>
      </c>
      <c r="D47" s="27"/>
      <c r="E47" s="1" t="s">
        <v>6</v>
      </c>
    </row>
    <row r="48" spans="1:20" ht="12.75" customHeight="1"/>
    <row r="49" spans="2:16" ht="12.75" customHeight="1"/>
    <row r="50" spans="2:16" ht="12.75" customHeight="1"/>
    <row r="51" spans="2:16" ht="12.75" customHeight="1"/>
    <row r="52" spans="2:16" ht="12.75" customHeight="1"/>
    <row r="53" spans="2:16" ht="12.75" customHeight="1"/>
    <row r="54" spans="2:16" ht="12.75" customHeight="1"/>
    <row r="55" spans="2:16" ht="12.75" customHeight="1"/>
    <row r="56" spans="2:16" ht="12.75" customHeight="1"/>
    <row r="57" spans="2:16" ht="12.75" customHeight="1"/>
    <row r="58" spans="2:16" ht="12.75" customHeight="1"/>
    <row r="59" spans="2:16" ht="12.75" customHeight="1"/>
    <row r="60" spans="2:16" ht="12.75" customHeight="1"/>
    <row r="61" spans="2:16" ht="12.75" customHeight="1">
      <c r="B61" t="s">
        <v>78</v>
      </c>
    </row>
    <row r="62" spans="2:16" ht="12.75" customHeight="1"/>
    <row r="63" spans="2:16" ht="12.75" customHeight="1">
      <c r="B63" t="s">
        <v>79</v>
      </c>
      <c r="O63" t="s">
        <v>121</v>
      </c>
    </row>
    <row r="64" spans="2:16" ht="12.75" customHeight="1">
      <c r="B64" s="31" t="s">
        <v>80</v>
      </c>
      <c r="C64" s="31"/>
      <c r="D64" t="s">
        <v>81</v>
      </c>
      <c r="O64" s="12" t="s">
        <v>115</v>
      </c>
      <c r="P64" t="s">
        <v>116</v>
      </c>
    </row>
    <row r="65" spans="2:23" ht="12.75" customHeight="1">
      <c r="C65" s="12" t="s">
        <v>43</v>
      </c>
      <c r="D65" t="s">
        <v>65</v>
      </c>
      <c r="E65" s="27">
        <v>0.85</v>
      </c>
      <c r="F65" s="27"/>
      <c r="G65" s="13" t="s">
        <v>49</v>
      </c>
      <c r="H65" s="27" t="str">
        <f>IF(L20="","",L20)</f>
        <v/>
      </c>
      <c r="I65" s="27"/>
      <c r="J65" t="s">
        <v>82</v>
      </c>
      <c r="K65" s="27" t="str">
        <f>IF(L13="","",L13)</f>
        <v/>
      </c>
      <c r="L65" s="27"/>
      <c r="O65" s="12" t="s">
        <v>43</v>
      </c>
      <c r="P65" s="27" t="str">
        <f>IF(L14="","",L14)</f>
        <v/>
      </c>
      <c r="Q65" s="27"/>
      <c r="R65" s="1" t="s">
        <v>44</v>
      </c>
      <c r="S65" s="1">
        <v>2</v>
      </c>
    </row>
    <row r="66" spans="2:23" ht="12.75" customHeight="1">
      <c r="C66" s="12" t="s">
        <v>43</v>
      </c>
      <c r="D66" s="27" t="str">
        <f>IF(H65="","",IF(K65="","",ROUND(E65*H65-K65,0)))</f>
        <v/>
      </c>
      <c r="E66" s="27"/>
      <c r="F66" s="1" t="s">
        <v>3</v>
      </c>
      <c r="O66" s="12" t="s">
        <v>43</v>
      </c>
      <c r="P66" s="27" t="str">
        <f>IF( P65="","",ROUND( P65/2,1))</f>
        <v/>
      </c>
      <c r="Q66" s="27"/>
      <c r="R66" s="1" t="s">
        <v>3</v>
      </c>
    </row>
    <row r="67" spans="2:23" ht="12.75" customHeight="1"/>
    <row r="68" spans="2:23" ht="12.75" customHeight="1">
      <c r="B68" t="s">
        <v>83</v>
      </c>
      <c r="L68" s="27" t="str">
        <f>IF(D72="",IF(D76="",IF(D80="",IF(D84="",IF(D88="","",D88),D84),D80),D76),D72)</f>
        <v/>
      </c>
      <c r="M68" s="27"/>
      <c r="O68" s="15" t="s">
        <v>122</v>
      </c>
    </row>
    <row r="69" spans="2:23" ht="12.75" customHeight="1">
      <c r="C69" t="s">
        <v>84</v>
      </c>
      <c r="O69" s="12" t="s">
        <v>117</v>
      </c>
      <c r="P69" t="s">
        <v>118</v>
      </c>
    </row>
    <row r="70" spans="2:23" ht="12.75" customHeight="1">
      <c r="B70" s="31" t="s">
        <v>85</v>
      </c>
      <c r="C70" s="31"/>
      <c r="D70" s="2" t="s">
        <v>86</v>
      </c>
      <c r="E70" s="2"/>
      <c r="F70" s="13"/>
      <c r="O70" s="12" t="s">
        <v>43</v>
      </c>
      <c r="P70" t="s">
        <v>119</v>
      </c>
      <c r="R70" s="27" t="str">
        <f>IF(L19="","",L19)</f>
        <v/>
      </c>
      <c r="S70" s="27"/>
      <c r="T70" t="s">
        <v>120</v>
      </c>
      <c r="V70" s="27" t="str">
        <f>IF(L13="","",L13)</f>
        <v/>
      </c>
      <c r="W70" s="27"/>
    </row>
    <row r="71" spans="2:23" ht="12.75" customHeight="1">
      <c r="C71" s="12" t="s">
        <v>43</v>
      </c>
      <c r="D71" t="s">
        <v>87</v>
      </c>
      <c r="G71" s="27" t="str">
        <f>IF($L$16="","",IF($Q$16=50,$L$16,""))</f>
        <v/>
      </c>
      <c r="H71" s="27"/>
      <c r="I71" t="s">
        <v>88</v>
      </c>
      <c r="L71" s="27" t="str">
        <f>IF($L$13="","",IF($L$16="","",IF($Q$16=50,$L$13, "")))</f>
        <v/>
      </c>
      <c r="M71" s="27"/>
      <c r="O71" s="12" t="s">
        <v>43</v>
      </c>
      <c r="P71" s="27" t="str">
        <f>IF(R70="","",IF(V70="","",ROUND(164.51*R70-1900-V70,1)))</f>
        <v/>
      </c>
      <c r="Q71" s="27"/>
      <c r="R71" s="1" t="s">
        <v>3</v>
      </c>
    </row>
    <row r="72" spans="2:23" ht="12.75" customHeight="1">
      <c r="C72" s="12" t="s">
        <v>43</v>
      </c>
      <c r="D72" s="27" t="str">
        <f>IF(G71="","",IF(L71="","",ROUND(7.36*(17/(G71-5)-1)*L71,1)))</f>
        <v/>
      </c>
      <c r="E72" s="27"/>
      <c r="F72" s="1" t="s">
        <v>3</v>
      </c>
    </row>
    <row r="73" spans="2:23" ht="12.75" customHeight="1">
      <c r="C73" t="s">
        <v>89</v>
      </c>
      <c r="O73" s="15" t="s">
        <v>123</v>
      </c>
    </row>
    <row r="74" spans="2:23" ht="12.75" customHeight="1">
      <c r="B74" s="31" t="s">
        <v>85</v>
      </c>
      <c r="C74" s="31"/>
      <c r="D74" s="2" t="s">
        <v>90</v>
      </c>
      <c r="E74" s="2"/>
      <c r="F74" s="13"/>
      <c r="O74" s="12" t="s">
        <v>124</v>
      </c>
      <c r="P74" t="s">
        <v>125</v>
      </c>
    </row>
    <row r="75" spans="2:23" ht="12.75" customHeight="1">
      <c r="C75" s="12" t="s">
        <v>43</v>
      </c>
      <c r="D75" t="s">
        <v>91</v>
      </c>
      <c r="G75" s="27" t="str">
        <f>IF($L$16="","",IF($Q$16=60,$L$16,""))</f>
        <v/>
      </c>
      <c r="H75" s="27"/>
      <c r="I75" t="s">
        <v>92</v>
      </c>
      <c r="L75" s="27" t="str">
        <f>IF($L$13="","",IF($L$16="","",IF($Q$16=60,$L$13, "")))</f>
        <v/>
      </c>
      <c r="M75" s="27"/>
      <c r="O75" s="12" t="s">
        <v>43</v>
      </c>
      <c r="P75" t="s">
        <v>126</v>
      </c>
      <c r="Q75" s="27" t="str">
        <f>IF(L15="","",L15)</f>
        <v/>
      </c>
      <c r="R75" s="27"/>
      <c r="S75" s="1" t="s">
        <v>127</v>
      </c>
      <c r="T75" s="27" t="str">
        <f>IF(L13="","",L13)</f>
        <v/>
      </c>
      <c r="U75" s="27"/>
    </row>
    <row r="76" spans="2:23" ht="12.75" customHeight="1">
      <c r="C76" s="12" t="s">
        <v>43</v>
      </c>
      <c r="D76" s="27" t="str">
        <f>IF(G75="","",IF(L75="","",ROUND(7.36*(24.5/(G75-6)-1)*L75,1)))</f>
        <v/>
      </c>
      <c r="E76" s="27"/>
      <c r="F76" s="1" t="s">
        <v>3</v>
      </c>
      <c r="O76" s="12" t="s">
        <v>43</v>
      </c>
      <c r="P76" s="27" t="str">
        <f>IF(Q75="","",IF(T75="","",ROUND(4*Q75-T75,1)))</f>
        <v/>
      </c>
      <c r="Q76" s="27"/>
      <c r="R76" s="1" t="s">
        <v>3</v>
      </c>
    </row>
    <row r="77" spans="2:23" ht="12.75" customHeight="1">
      <c r="C77" t="s">
        <v>93</v>
      </c>
    </row>
    <row r="78" spans="2:23" ht="12.75" customHeight="1">
      <c r="B78" s="31" t="s">
        <v>85</v>
      </c>
      <c r="C78" s="31"/>
      <c r="D78" s="2" t="s">
        <v>94</v>
      </c>
      <c r="E78" s="2"/>
      <c r="F78" s="13"/>
      <c r="O78" s="15" t="s">
        <v>128</v>
      </c>
      <c r="U78" t="s">
        <v>137</v>
      </c>
    </row>
    <row r="79" spans="2:23" ht="12.75" customHeight="1">
      <c r="C79" s="12" t="s">
        <v>43</v>
      </c>
      <c r="D79" t="s">
        <v>95</v>
      </c>
      <c r="G79" s="27" t="str">
        <f>IF($L$16="","",IF($Q$16=80,$L$16,""))</f>
        <v/>
      </c>
      <c r="H79" s="27"/>
      <c r="I79" t="s">
        <v>99</v>
      </c>
      <c r="L79" s="27" t="str">
        <f>IF($L$13="","",IF($L$16="","",IF($Q$16=80,$L$13, "")))</f>
        <v/>
      </c>
      <c r="M79" s="27"/>
      <c r="P79" s="4" t="s">
        <v>129</v>
      </c>
      <c r="Q79" s="25" t="str">
        <f>IF(D66="","",ROUNDDOWN(D66,-1))</f>
        <v/>
      </c>
      <c r="R79" s="25"/>
      <c r="S79" s="4" t="s">
        <v>3</v>
      </c>
    </row>
    <row r="80" spans="2:23" ht="12.75" customHeight="1">
      <c r="C80" s="12" t="s">
        <v>43</v>
      </c>
      <c r="D80" s="27" t="str">
        <f>IF(G79="","",IF(L79="","",ROUND(7.36*(43.5/(G79-5)-1)*L79,1)))</f>
        <v/>
      </c>
      <c r="E80" s="27"/>
      <c r="F80" s="1" t="s">
        <v>3</v>
      </c>
      <c r="P80" s="4" t="s">
        <v>130</v>
      </c>
      <c r="Q80" s="25" t="str">
        <f>IF(L68="","",ROUNDDOWN(L68,-1))</f>
        <v/>
      </c>
      <c r="R80" s="25"/>
      <c r="S80" s="4" t="s">
        <v>3</v>
      </c>
    </row>
    <row r="81" spans="2:24" ht="12.75" customHeight="1">
      <c r="C81" t="s">
        <v>96</v>
      </c>
      <c r="P81" s="4" t="s">
        <v>131</v>
      </c>
      <c r="Q81" s="25" t="str">
        <f>IF( P71="","",ROUNDDOWN(P71,-1))</f>
        <v/>
      </c>
      <c r="R81" s="25"/>
      <c r="S81" s="4" t="s">
        <v>3</v>
      </c>
    </row>
    <row r="82" spans="2:24" ht="12.75" customHeight="1">
      <c r="B82" s="31" t="s">
        <v>85</v>
      </c>
      <c r="C82" s="31"/>
      <c r="D82" s="2" t="s">
        <v>97</v>
      </c>
      <c r="E82" s="2"/>
      <c r="F82" s="13"/>
      <c r="P82" s="4" t="s">
        <v>132</v>
      </c>
      <c r="Q82" s="25" t="str">
        <f>IF( P76="","",ROUNDDOWN(P76,-1 ))</f>
        <v/>
      </c>
      <c r="R82" s="25"/>
      <c r="S82" s="4" t="s">
        <v>3</v>
      </c>
      <c r="U82" s="27" t="s">
        <v>133</v>
      </c>
      <c r="V82" s="27"/>
      <c r="W82" s="27"/>
      <c r="X82" s="27"/>
    </row>
    <row r="83" spans="2:24" ht="12.75" customHeight="1">
      <c r="C83" s="12" t="s">
        <v>43</v>
      </c>
      <c r="D83" t="s">
        <v>98</v>
      </c>
      <c r="G83" s="27" t="str">
        <f>IF($L$16="","",IF($Q$16=100,$L$16,""))</f>
        <v/>
      </c>
      <c r="H83" s="27"/>
      <c r="I83" t="s">
        <v>100</v>
      </c>
      <c r="L83" s="27" t="str">
        <f>IF($L$13="","",IF($L$16="","",IF($Q$16=100,$L$13, "")))</f>
        <v/>
      </c>
      <c r="M83" s="27"/>
      <c r="P83" s="3"/>
      <c r="Q83" s="25">
        <v>1990</v>
      </c>
      <c r="R83" s="25"/>
      <c r="S83" s="4" t="s">
        <v>3</v>
      </c>
      <c r="V83" s="26" t="str">
        <f>IF(Q79="","",IF(Q80="","",IF(Q81="","",IF(Q82="","",MIN(Q79:R83)))))</f>
        <v/>
      </c>
      <c r="W83" s="26"/>
      <c r="X83" s="4" t="s">
        <v>3</v>
      </c>
    </row>
    <row r="84" spans="2:24" ht="12.75" customHeight="1">
      <c r="C84" s="12" t="s">
        <v>43</v>
      </c>
      <c r="D84" s="27" t="str">
        <f>IF(G83="","",IF(L83="","",ROUND(7.36*(17/(G83-5)-1)*L83,1)))</f>
        <v/>
      </c>
      <c r="E84" s="27"/>
      <c r="F84" s="1" t="s">
        <v>3</v>
      </c>
    </row>
    <row r="85" spans="2:24" ht="12.75" customHeight="1">
      <c r="C85" s="15" t="s">
        <v>101</v>
      </c>
      <c r="O85" s="15" t="s">
        <v>134</v>
      </c>
      <c r="U85" t="s">
        <v>137</v>
      </c>
    </row>
    <row r="86" spans="2:24" ht="12.75" customHeight="1">
      <c r="B86" s="31" t="s">
        <v>85</v>
      </c>
      <c r="C86" s="31"/>
      <c r="D86" s="2" t="s">
        <v>102</v>
      </c>
      <c r="E86" s="2"/>
      <c r="F86" s="13"/>
      <c r="P86" s="4" t="s">
        <v>129</v>
      </c>
      <c r="Q86" s="25" t="str">
        <f>IF( Q79="","",Q79)</f>
        <v/>
      </c>
      <c r="R86" s="25"/>
      <c r="S86" s="4" t="s">
        <v>3</v>
      </c>
    </row>
    <row r="87" spans="2:24" ht="12.75" customHeight="1">
      <c r="C87" s="12" t="s">
        <v>43</v>
      </c>
      <c r="D87" s="27" t="s">
        <v>103</v>
      </c>
      <c r="E87" s="27"/>
      <c r="F87" s="27" t="str">
        <f>IF(S6="",IF( D25="","",D25),"")</f>
        <v/>
      </c>
      <c r="G87" s="27"/>
      <c r="H87" s="16" t="s">
        <v>104</v>
      </c>
      <c r="K87" s="27" t="str">
        <f>IF(S6="",IF( L13="","",L13),"")</f>
        <v/>
      </c>
      <c r="L87" s="27"/>
      <c r="M87" s="2"/>
      <c r="P87" s="4" t="s">
        <v>135</v>
      </c>
      <c r="Q87" s="25" t="str">
        <f>IF( L90="","",ROUNDDOWN(L90,-1))</f>
        <v/>
      </c>
      <c r="R87" s="25"/>
      <c r="S87" s="4" t="s">
        <v>3</v>
      </c>
    </row>
    <row r="88" spans="2:24" ht="12.75" customHeight="1">
      <c r="C88" s="12" t="s">
        <v>43</v>
      </c>
      <c r="D88" s="27" t="str">
        <f>IF(F87="","",IF(K87="","",ROUND(7.36*(F87/(5.67)-1)*K87,1)))</f>
        <v/>
      </c>
      <c r="E88" s="27"/>
      <c r="F88" s="1" t="s">
        <v>3</v>
      </c>
      <c r="P88" s="4" t="s">
        <v>136</v>
      </c>
      <c r="Q88" s="25" t="str">
        <f>IF( P66="","",ROUNDDOWN(P66,-1))</f>
        <v/>
      </c>
      <c r="R88" s="25"/>
      <c r="S88" s="4" t="s">
        <v>3</v>
      </c>
    </row>
    <row r="89" spans="2:24" ht="12.75" customHeight="1">
      <c r="P89" s="4" t="s">
        <v>131</v>
      </c>
      <c r="Q89" s="25" t="str">
        <f>IF( Q81="","",Q81)</f>
        <v/>
      </c>
      <c r="R89" s="25"/>
      <c r="S89" s="4" t="s">
        <v>3</v>
      </c>
    </row>
    <row r="90" spans="2:24" ht="12.75" customHeight="1">
      <c r="B90" t="s">
        <v>105</v>
      </c>
      <c r="L90" s="27" t="str">
        <f>IF(D94="",IF(D98="",IF(D102="",IF(D106="",IF(D110="","",D110),D106),D102),D98),D94)</f>
        <v/>
      </c>
      <c r="M90" s="27"/>
      <c r="P90" s="4" t="s">
        <v>132</v>
      </c>
      <c r="Q90" s="25" t="str">
        <f>IF( Q82="","",Q82)</f>
        <v/>
      </c>
      <c r="R90" s="25"/>
      <c r="S90" s="4" t="s">
        <v>3</v>
      </c>
      <c r="U90" s="27" t="s">
        <v>133</v>
      </c>
      <c r="V90" s="27"/>
      <c r="W90" s="27"/>
      <c r="X90" s="27"/>
    </row>
    <row r="91" spans="2:24" ht="12.75" customHeight="1">
      <c r="C91" t="s">
        <v>84</v>
      </c>
      <c r="P91" s="3"/>
      <c r="Q91" s="25">
        <v>750</v>
      </c>
      <c r="R91" s="25"/>
      <c r="S91" s="4" t="s">
        <v>3</v>
      </c>
      <c r="V91" s="26" t="str">
        <f>IF(Q86="","",IF(Q87="","",IF(Q88="","",IF(Q89="","",IF(Q90="","",MIN(Q86:R91))))))</f>
        <v/>
      </c>
      <c r="W91" s="26"/>
      <c r="X91" s="4" t="s">
        <v>3</v>
      </c>
    </row>
    <row r="92" spans="2:24" ht="12.75" customHeight="1">
      <c r="B92" s="31" t="s">
        <v>145</v>
      </c>
      <c r="C92" s="31"/>
      <c r="D92" s="2" t="s">
        <v>106</v>
      </c>
      <c r="E92" s="2"/>
      <c r="F92" s="13"/>
    </row>
    <row r="93" spans="2:24" ht="12.75" customHeight="1">
      <c r="C93" s="12" t="s">
        <v>43</v>
      </c>
      <c r="D93" s="17" t="s">
        <v>107</v>
      </c>
      <c r="F93" s="27" t="str">
        <f>IF($L$16="","",IF($Q$16=50,$L$16,""))</f>
        <v/>
      </c>
      <c r="G93" s="27"/>
      <c r="H93" t="s">
        <v>88</v>
      </c>
      <c r="K93" s="27" t="str">
        <f>IF($L$13="","",IF($L$16="","",IF($Q$16=50,$L$13, "")))</f>
        <v/>
      </c>
      <c r="L93" s="27"/>
    </row>
    <row r="94" spans="2:24" ht="12.75" customHeight="1">
      <c r="C94" s="12" t="s">
        <v>43</v>
      </c>
      <c r="D94" s="27" t="str">
        <f>IF(F93="","",IF(K93="","",ROUND((17/(F93-5)-1)*K93,1)))</f>
        <v/>
      </c>
      <c r="E94" s="27"/>
      <c r="F94" s="1" t="s">
        <v>3</v>
      </c>
    </row>
    <row r="95" spans="2:24" ht="12.75" customHeight="1">
      <c r="C95" t="s">
        <v>89</v>
      </c>
    </row>
    <row r="96" spans="2:24" ht="12.75" customHeight="1">
      <c r="B96" s="31" t="s">
        <v>145</v>
      </c>
      <c r="C96" s="31"/>
      <c r="D96" s="2" t="s">
        <v>108</v>
      </c>
      <c r="E96" s="2"/>
      <c r="F96" s="13"/>
    </row>
    <row r="97" spans="2:24" ht="12.75" customHeight="1">
      <c r="C97" s="12" t="s">
        <v>43</v>
      </c>
      <c r="D97" s="17" t="s">
        <v>109</v>
      </c>
      <c r="F97" s="27" t="str">
        <f>IF($L$16="","",IF($Q$16=60,$L$16,""))</f>
        <v/>
      </c>
      <c r="G97" s="27"/>
      <c r="H97" t="s">
        <v>92</v>
      </c>
      <c r="K97" s="27" t="str">
        <f>IF($L$13="","",IF($L$16="","",IF($Q$16=60,$L$13, "")))</f>
        <v/>
      </c>
      <c r="L97" s="27"/>
    </row>
    <row r="98" spans="2:24" ht="12.75" customHeight="1">
      <c r="C98" s="12" t="s">
        <v>43</v>
      </c>
      <c r="D98" s="27" t="str">
        <f>IF(F97="","",IF(K97="","",ROUND(7.36*(24.5/(F97-6)-1)*K97,1)))</f>
        <v/>
      </c>
      <c r="E98" s="27"/>
      <c r="F98" s="1" t="s">
        <v>3</v>
      </c>
    </row>
    <row r="99" spans="2:24" ht="12.75" customHeight="1">
      <c r="C99" t="s">
        <v>93</v>
      </c>
    </row>
    <row r="100" spans="2:24" ht="12.75" customHeight="1">
      <c r="B100" s="31" t="s">
        <v>145</v>
      </c>
      <c r="C100" s="31"/>
      <c r="D100" s="2" t="s">
        <v>110</v>
      </c>
      <c r="E100" s="2"/>
      <c r="F100" s="13"/>
    </row>
    <row r="101" spans="2:24" ht="12.75" customHeight="1">
      <c r="C101" s="12" t="s">
        <v>43</v>
      </c>
      <c r="D101" s="17" t="s">
        <v>111</v>
      </c>
      <c r="F101" s="27" t="str">
        <f>IF($L$16="","",IF($Q$16=80,$L$16,""))</f>
        <v/>
      </c>
      <c r="G101" s="27"/>
      <c r="H101" t="s">
        <v>99</v>
      </c>
      <c r="K101" s="27" t="str">
        <f>IF($L$13="","",IF($L$16="","",IF($Q$16=80,$L$13, "")))</f>
        <v/>
      </c>
      <c r="L101" s="27"/>
      <c r="N101" s="28" t="s">
        <v>138</v>
      </c>
      <c r="O101" s="29"/>
      <c r="P101" s="29"/>
      <c r="Q101" s="29"/>
      <c r="R101" s="29"/>
      <c r="S101" s="29"/>
      <c r="T101" s="29" t="s">
        <v>139</v>
      </c>
      <c r="U101" s="29"/>
      <c r="V101" s="29"/>
      <c r="W101" s="29"/>
      <c r="X101" s="30"/>
    </row>
    <row r="102" spans="2:24" ht="12.75" customHeight="1">
      <c r="C102" s="12" t="s">
        <v>43</v>
      </c>
      <c r="D102" s="27" t="str">
        <f>IF(F101="","",IF(K101="","",ROUND((43.5/(F101-5)-1)*K101,1)))</f>
        <v/>
      </c>
      <c r="E102" s="27"/>
      <c r="F102" s="1" t="s">
        <v>3</v>
      </c>
      <c r="N102" s="19" t="s">
        <v>140</v>
      </c>
      <c r="O102" s="20"/>
      <c r="P102" s="20"/>
      <c r="Q102" s="20"/>
      <c r="R102" s="20"/>
      <c r="S102" s="20"/>
      <c r="T102" s="20"/>
      <c r="U102" s="20"/>
      <c r="V102" s="20"/>
      <c r="W102" s="20"/>
      <c r="X102" s="21"/>
    </row>
    <row r="103" spans="2:24" ht="12.75" customHeight="1">
      <c r="C103" t="s">
        <v>96</v>
      </c>
      <c r="N103" s="19" t="s">
        <v>141</v>
      </c>
      <c r="O103" s="20"/>
      <c r="P103" s="20"/>
      <c r="Q103" s="20"/>
      <c r="R103" s="20"/>
      <c r="S103" s="20"/>
      <c r="T103" s="20"/>
      <c r="U103" s="20"/>
      <c r="V103" s="20"/>
      <c r="W103" s="20"/>
      <c r="X103" s="21"/>
    </row>
    <row r="104" spans="2:24" ht="12.75" customHeight="1">
      <c r="B104" s="31" t="s">
        <v>145</v>
      </c>
      <c r="C104" s="31"/>
      <c r="D104" s="2" t="s">
        <v>112</v>
      </c>
      <c r="E104" s="2"/>
      <c r="F104" s="13"/>
      <c r="N104" s="22" t="s">
        <v>142</v>
      </c>
      <c r="O104" s="23"/>
      <c r="P104" s="23" t="str">
        <f>IF(V83="","",V83)</f>
        <v/>
      </c>
      <c r="Q104" s="23"/>
      <c r="R104" s="23" t="s">
        <v>143</v>
      </c>
      <c r="S104" s="23"/>
      <c r="T104" s="23" t="str">
        <f>IF(V91="","",V91)</f>
        <v/>
      </c>
      <c r="U104" s="23"/>
      <c r="V104" s="23" t="s">
        <v>144</v>
      </c>
      <c r="W104" s="23"/>
      <c r="X104" s="24"/>
    </row>
    <row r="105" spans="2:24" ht="12.75" customHeight="1">
      <c r="C105" s="12" t="s">
        <v>43</v>
      </c>
      <c r="D105" s="17" t="s">
        <v>113</v>
      </c>
      <c r="F105" s="27" t="str">
        <f>IF($L$16="","",IF($Q$16=100,$L$16,""))</f>
        <v/>
      </c>
      <c r="G105" s="27"/>
      <c r="H105" t="s">
        <v>100</v>
      </c>
      <c r="K105" s="27" t="str">
        <f>IF($L$13="","",IF($L$16="","",IF($Q$16=100,$L$13, "")))</f>
        <v/>
      </c>
      <c r="L105" s="27"/>
    </row>
    <row r="106" spans="2:24" ht="12.75" customHeight="1">
      <c r="C106" s="12" t="s">
        <v>43</v>
      </c>
      <c r="D106" s="27" t="str">
        <f>IF(F105="","",IF(K105="","",ROUND(7.36*(17/(F105-5)-1)*K105,1)))</f>
        <v/>
      </c>
      <c r="E106" s="27"/>
      <c r="F106" s="1" t="s">
        <v>3</v>
      </c>
    </row>
    <row r="107" spans="2:24" ht="12.75" customHeight="1">
      <c r="C107" s="15" t="s">
        <v>101</v>
      </c>
    </row>
    <row r="108" spans="2:24" ht="12.75" customHeight="1">
      <c r="B108" s="31" t="s">
        <v>145</v>
      </c>
      <c r="C108" s="31"/>
      <c r="D108" s="2" t="s">
        <v>114</v>
      </c>
      <c r="E108" s="2"/>
      <c r="F108" s="13"/>
    </row>
    <row r="109" spans="2:24" ht="12.75" customHeight="1">
      <c r="C109" s="12" t="s">
        <v>43</v>
      </c>
      <c r="D109" s="2" t="s">
        <v>65</v>
      </c>
      <c r="E109" s="27" t="str">
        <f>IF(S28="",IF( D47="","",D47),"")</f>
        <v/>
      </c>
      <c r="F109" s="27"/>
      <c r="G109" s="16" t="s">
        <v>104</v>
      </c>
      <c r="J109" s="27" t="str">
        <f>IF(S6="",IF( L13="","",L13),"")</f>
        <v/>
      </c>
      <c r="K109" s="27"/>
      <c r="M109" s="2"/>
    </row>
    <row r="110" spans="2:24" ht="12.75" customHeight="1">
      <c r="C110" s="12" t="s">
        <v>43</v>
      </c>
      <c r="D110" s="27" t="str">
        <f>IF(E109="","",IF(J109="","",ROUND(7.36*(E109/(5.67)-1)*J109,1)))</f>
        <v/>
      </c>
      <c r="E110" s="27"/>
      <c r="F110" s="1" t="s">
        <v>3</v>
      </c>
    </row>
    <row r="111" spans="2:24" ht="12.75" customHeight="1"/>
    <row r="112" spans="2:24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</sheetData>
  <sheetProtection formatCells="0" selectLockedCells="1"/>
  <mergeCells count="172">
    <mergeCell ref="A1:X1"/>
    <mergeCell ref="B3:E3"/>
    <mergeCell ref="N3:Q3"/>
    <mergeCell ref="B9:E9"/>
    <mergeCell ref="F9:J9"/>
    <mergeCell ref="K9:L9"/>
    <mergeCell ref="B10:D11"/>
    <mergeCell ref="F10:J10"/>
    <mergeCell ref="F11:J11"/>
    <mergeCell ref="K10:L10"/>
    <mergeCell ref="K11:L11"/>
    <mergeCell ref="B5:E5"/>
    <mergeCell ref="B6:E7"/>
    <mergeCell ref="F6:L7"/>
    <mergeCell ref="F5:L5"/>
    <mergeCell ref="B8:E8"/>
    <mergeCell ref="F8:J8"/>
    <mergeCell ref="K8:L8"/>
    <mergeCell ref="S10:V10"/>
    <mergeCell ref="W10:X10"/>
    <mergeCell ref="N8:R8"/>
    <mergeCell ref="N9:P11"/>
    <mergeCell ref="Q9:R9"/>
    <mergeCell ref="Q10:R10"/>
    <mergeCell ref="N5:P7"/>
    <mergeCell ref="Q5:R5"/>
    <mergeCell ref="Q6:R6"/>
    <mergeCell ref="Q7:R7"/>
    <mergeCell ref="S5:V5"/>
    <mergeCell ref="S6:V6"/>
    <mergeCell ref="S7:V7"/>
    <mergeCell ref="O13:U13"/>
    <mergeCell ref="O14:U14"/>
    <mergeCell ref="Q11:R11"/>
    <mergeCell ref="S11:X11"/>
    <mergeCell ref="W5:X5"/>
    <mergeCell ref="W6:X6"/>
    <mergeCell ref="W7:X7"/>
    <mergeCell ref="S8:V8"/>
    <mergeCell ref="W8:X8"/>
    <mergeCell ref="S9:V9"/>
    <mergeCell ref="W9:X9"/>
    <mergeCell ref="O15:U15"/>
    <mergeCell ref="O16:P16"/>
    <mergeCell ref="Q16:S16"/>
    <mergeCell ref="T16:U16"/>
    <mergeCell ref="D19:K19"/>
    <mergeCell ref="D20:K20"/>
    <mergeCell ref="L13:M13"/>
    <mergeCell ref="L14:M14"/>
    <mergeCell ref="L15:M15"/>
    <mergeCell ref="L16:M16"/>
    <mergeCell ref="L17:M17"/>
    <mergeCell ref="L18:M18"/>
    <mergeCell ref="L19:M19"/>
    <mergeCell ref="L20:M20"/>
    <mergeCell ref="D13:K13"/>
    <mergeCell ref="D14:K14"/>
    <mergeCell ref="D15:K15"/>
    <mergeCell ref="D16:K16"/>
    <mergeCell ref="D17:K17"/>
    <mergeCell ref="D18:K18"/>
    <mergeCell ref="K41:M41"/>
    <mergeCell ref="D25:E25"/>
    <mergeCell ref="D29:E29"/>
    <mergeCell ref="G29:H29"/>
    <mergeCell ref="D30:E30"/>
    <mergeCell ref="D34:E34"/>
    <mergeCell ref="D35:E35"/>
    <mergeCell ref="O20:P20"/>
    <mergeCell ref="S20:T20"/>
    <mergeCell ref="Q20:R20"/>
    <mergeCell ref="D24:E24"/>
    <mergeCell ref="G24:H24"/>
    <mergeCell ref="B64:C64"/>
    <mergeCell ref="E65:F65"/>
    <mergeCell ref="H65:I65"/>
    <mergeCell ref="K65:L65"/>
    <mergeCell ref="D66:E66"/>
    <mergeCell ref="B70:C70"/>
    <mergeCell ref="C47:D47"/>
    <mergeCell ref="F3:L3"/>
    <mergeCell ref="R3:X3"/>
    <mergeCell ref="U23:W23"/>
    <mergeCell ref="U24:W24"/>
    <mergeCell ref="K42:M42"/>
    <mergeCell ref="K43:M43"/>
    <mergeCell ref="P41:R41"/>
    <mergeCell ref="P42:R42"/>
    <mergeCell ref="P43:R43"/>
    <mergeCell ref="D46:E46"/>
    <mergeCell ref="G46:H46"/>
    <mergeCell ref="J46:K46"/>
    <mergeCell ref="B36:C36"/>
    <mergeCell ref="L34:M34"/>
    <mergeCell ref="L35:M35"/>
    <mergeCell ref="L37:M37"/>
    <mergeCell ref="L38:M38"/>
    <mergeCell ref="D84:E84"/>
    <mergeCell ref="B86:C86"/>
    <mergeCell ref="D76:E76"/>
    <mergeCell ref="B78:C78"/>
    <mergeCell ref="G79:H79"/>
    <mergeCell ref="L79:M79"/>
    <mergeCell ref="D80:E80"/>
    <mergeCell ref="B82:C82"/>
    <mergeCell ref="G71:H71"/>
    <mergeCell ref="L71:M71"/>
    <mergeCell ref="D72:E72"/>
    <mergeCell ref="B74:C74"/>
    <mergeCell ref="G75:H75"/>
    <mergeCell ref="L75:M75"/>
    <mergeCell ref="E109:F109"/>
    <mergeCell ref="J109:K109"/>
    <mergeCell ref="D110:E110"/>
    <mergeCell ref="F101:G101"/>
    <mergeCell ref="K101:L101"/>
    <mergeCell ref="D102:E102"/>
    <mergeCell ref="B104:C104"/>
    <mergeCell ref="F105:G105"/>
    <mergeCell ref="K105:L105"/>
    <mergeCell ref="P65:Q65"/>
    <mergeCell ref="P66:Q66"/>
    <mergeCell ref="R70:S70"/>
    <mergeCell ref="V70:W70"/>
    <mergeCell ref="P71:Q71"/>
    <mergeCell ref="Q75:R75"/>
    <mergeCell ref="T75:U75"/>
    <mergeCell ref="D106:E106"/>
    <mergeCell ref="B108:C108"/>
    <mergeCell ref="D94:E94"/>
    <mergeCell ref="B96:C96"/>
    <mergeCell ref="F97:G97"/>
    <mergeCell ref="K97:L97"/>
    <mergeCell ref="D98:E98"/>
    <mergeCell ref="B100:C100"/>
    <mergeCell ref="D88:E88"/>
    <mergeCell ref="D87:E87"/>
    <mergeCell ref="F87:G87"/>
    <mergeCell ref="K87:L87"/>
    <mergeCell ref="B92:C92"/>
    <mergeCell ref="F93:G93"/>
    <mergeCell ref="K93:L93"/>
    <mergeCell ref="G83:H83"/>
    <mergeCell ref="L83:M83"/>
    <mergeCell ref="L68:M68"/>
    <mergeCell ref="L90:M90"/>
    <mergeCell ref="N101:S101"/>
    <mergeCell ref="T101:X101"/>
    <mergeCell ref="V83:W83"/>
    <mergeCell ref="U82:X82"/>
    <mergeCell ref="Q86:R86"/>
    <mergeCell ref="Q87:R87"/>
    <mergeCell ref="Q88:R88"/>
    <mergeCell ref="Q89:R89"/>
    <mergeCell ref="U90:X90"/>
    <mergeCell ref="P76:Q76"/>
    <mergeCell ref="Q79:R79"/>
    <mergeCell ref="Q80:R80"/>
    <mergeCell ref="Q81:R81"/>
    <mergeCell ref="Q82:R82"/>
    <mergeCell ref="Q83:R83"/>
    <mergeCell ref="N102:X102"/>
    <mergeCell ref="N103:X103"/>
    <mergeCell ref="N104:O104"/>
    <mergeCell ref="P104:Q104"/>
    <mergeCell ref="R104:S104"/>
    <mergeCell ref="T104:U104"/>
    <mergeCell ref="V104:X104"/>
    <mergeCell ref="Q90:R90"/>
    <mergeCell ref="V91:W91"/>
    <mergeCell ref="Q91:R91"/>
  </mergeCells>
  <phoneticPr fontId="3"/>
  <pageMargins left="0.25" right="0.25" top="0.75" bottom="0.75" header="0.3" footer="0.3"/>
  <pageSetup paperSize="9" orientation="portrait" horizontalDpi="1200" verticalDpi="1200" r:id="rId1"/>
  <headerFooter>
    <oddFooter>&amp;CCopyright　© 2014
　SUPERIOR INC.  All Right Reserved.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けん引可能なトレーラの車両総重量の計算書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Superior,Inc Yasuhisa Hishikawa</dc:creator>
  <cp:lastModifiedBy>Superior,Inc Yasuhisa Hishikawa</cp:lastModifiedBy>
  <cp:lastPrinted>2020-01-16T03:52:24Z</cp:lastPrinted>
  <dcterms:created xsi:type="dcterms:W3CDTF">2020-01-13T07:32:49Z</dcterms:created>
  <dcterms:modified xsi:type="dcterms:W3CDTF">2020-01-16T04:01:55Z</dcterms:modified>
</cp:coreProperties>
</file>